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\PREINVERSION\METODOLOGIAS\Seminario Perfiles Proyecto\Dia 3\"/>
    </mc:Choice>
  </mc:AlternateContent>
  <bookViews>
    <workbookView xWindow="0" yWindow="0" windowWidth="28800" windowHeight="12030" activeTab="5"/>
  </bookViews>
  <sheets>
    <sheet name="Estadisticas" sheetId="4" r:id="rId1"/>
    <sheet name="Sistema de vigilancia" sheetId="2" r:id="rId2"/>
    <sheet name="AnálisisDemanda" sheetId="3" r:id="rId3"/>
    <sheet name="AnálisisOferta" sheetId="5" r:id="rId4"/>
    <sheet name="Brecha" sheetId="6" state="hidden" r:id="rId5"/>
    <sheet name="BrechaOD" sheetId="8" r:id="rId6"/>
    <sheet name="Lista" sheetId="7" state="hidden" r:id="rId7"/>
  </sheet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3" l="1"/>
  <c r="D29" i="5" l="1"/>
  <c r="D13" i="6" s="1"/>
  <c r="D27" i="5"/>
  <c r="D25" i="5"/>
  <c r="D9" i="6" s="1"/>
  <c r="D26" i="5"/>
  <c r="D10" i="6" s="1"/>
  <c r="D21" i="3"/>
  <c r="C8" i="6"/>
  <c r="C16" i="6"/>
  <c r="C17" i="6"/>
  <c r="C18" i="6"/>
  <c r="C19" i="6"/>
  <c r="C15" i="6"/>
  <c r="E10" i="6"/>
  <c r="F10" i="6"/>
  <c r="G10" i="6"/>
  <c r="H10" i="6"/>
  <c r="D11" i="6"/>
  <c r="E11" i="6"/>
  <c r="F11" i="6"/>
  <c r="G11" i="6"/>
  <c r="H11" i="6"/>
  <c r="D12" i="6"/>
  <c r="E12" i="6"/>
  <c r="F12" i="6"/>
  <c r="G12" i="6"/>
  <c r="H12" i="6"/>
  <c r="E13" i="6"/>
  <c r="F13" i="6"/>
  <c r="G13" i="6"/>
  <c r="H13" i="6"/>
  <c r="C14" i="6"/>
  <c r="C10" i="6"/>
  <c r="C11" i="6"/>
  <c r="C12" i="6"/>
  <c r="C13" i="6"/>
  <c r="C9" i="6"/>
  <c r="C4" i="6"/>
  <c r="C5" i="6"/>
  <c r="C6" i="6"/>
  <c r="C7" i="6"/>
  <c r="C3" i="6"/>
  <c r="F68" i="3" l="1"/>
  <c r="F69" i="3" s="1"/>
  <c r="G68" i="3"/>
  <c r="G71" i="3" s="1"/>
  <c r="H68" i="3"/>
  <c r="H70" i="3" s="1"/>
  <c r="I68" i="3"/>
  <c r="I71" i="3" s="1"/>
  <c r="E68" i="3"/>
  <c r="E71" i="3" s="1"/>
  <c r="G21" i="3"/>
  <c r="G24" i="3" s="1"/>
  <c r="F24" i="3"/>
  <c r="F23" i="3"/>
  <c r="F62" i="3"/>
  <c r="F66" i="3" s="1"/>
  <c r="G62" i="3"/>
  <c r="G65" i="3" s="1"/>
  <c r="H62" i="3"/>
  <c r="H64" i="3" s="1"/>
  <c r="I62" i="3"/>
  <c r="I64" i="3" s="1"/>
  <c r="E62" i="3"/>
  <c r="E63" i="3" s="1"/>
  <c r="F56" i="3"/>
  <c r="F60" i="3" s="1"/>
  <c r="G56" i="3"/>
  <c r="G57" i="3" s="1"/>
  <c r="H56" i="3"/>
  <c r="H60" i="3" s="1"/>
  <c r="I56" i="3"/>
  <c r="I59" i="3" s="1"/>
  <c r="E56" i="3"/>
  <c r="E59" i="3" s="1"/>
  <c r="E52" i="3"/>
  <c r="F50" i="3"/>
  <c r="G50" i="3"/>
  <c r="G51" i="3" s="1"/>
  <c r="H50" i="3"/>
  <c r="H54" i="3" s="1"/>
  <c r="I50" i="3"/>
  <c r="I55" i="3" s="1"/>
  <c r="C46" i="3"/>
  <c r="F21" i="3"/>
  <c r="D27" i="3"/>
  <c r="D25" i="3"/>
  <c r="D24" i="3"/>
  <c r="E21" i="3"/>
  <c r="E26" i="3" s="1"/>
  <c r="D23" i="3"/>
  <c r="E25" i="5"/>
  <c r="E9" i="6" s="1"/>
  <c r="E26" i="5"/>
  <c r="E27" i="5"/>
  <c r="D28" i="5"/>
  <c r="E28" i="5"/>
  <c r="E29" i="5"/>
  <c r="D22" i="2"/>
  <c r="D6" i="3"/>
  <c r="D15" i="3"/>
  <c r="H26" i="5"/>
  <c r="H58" i="3" l="1"/>
  <c r="I65" i="3"/>
  <c r="E24" i="3"/>
  <c r="D33" i="3" s="1"/>
  <c r="E25" i="3"/>
  <c r="G23" i="3"/>
  <c r="E27" i="3"/>
  <c r="E69" i="3"/>
  <c r="D26" i="3"/>
  <c r="E23" i="3"/>
  <c r="D32" i="3" s="1"/>
  <c r="H59" i="3"/>
  <c r="F73" i="3"/>
  <c r="H57" i="3"/>
  <c r="H61" i="3"/>
  <c r="I72" i="3"/>
  <c r="E65" i="3"/>
  <c r="I70" i="3"/>
  <c r="I67" i="3"/>
  <c r="F70" i="3"/>
  <c r="E72" i="3"/>
  <c r="E73" i="3"/>
  <c r="F67" i="3"/>
  <c r="I73" i="3"/>
  <c r="E64" i="3"/>
  <c r="I69" i="3"/>
  <c r="F72" i="3"/>
  <c r="I57" i="3"/>
  <c r="F64" i="3"/>
  <c r="H69" i="3"/>
  <c r="I60" i="3"/>
  <c r="F65" i="3"/>
  <c r="I58" i="3"/>
  <c r="I61" i="3"/>
  <c r="G64" i="3"/>
  <c r="F71" i="3"/>
  <c r="G72" i="3"/>
  <c r="H63" i="3"/>
  <c r="I66" i="3"/>
  <c r="G58" i="3"/>
  <c r="F63" i="3"/>
  <c r="E66" i="3"/>
  <c r="G66" i="3"/>
  <c r="G69" i="3"/>
  <c r="H73" i="3"/>
  <c r="H71" i="3"/>
  <c r="I63" i="3"/>
  <c r="G70" i="3"/>
  <c r="G63" i="3"/>
  <c r="H66" i="3"/>
  <c r="E51" i="3"/>
  <c r="E67" i="3"/>
  <c r="G73" i="3"/>
  <c r="H67" i="3"/>
  <c r="H65" i="3"/>
  <c r="E70" i="3"/>
  <c r="G67" i="3"/>
  <c r="H72" i="3"/>
  <c r="H80" i="3" s="1"/>
  <c r="G6" i="6" s="1"/>
  <c r="G18" i="6" s="1"/>
  <c r="H53" i="3"/>
  <c r="F58" i="3"/>
  <c r="H55" i="3"/>
  <c r="F61" i="3"/>
  <c r="F57" i="3"/>
  <c r="G59" i="3"/>
  <c r="F59" i="3"/>
  <c r="G61" i="3"/>
  <c r="G60" i="3"/>
  <c r="E61" i="3"/>
  <c r="E58" i="3"/>
  <c r="E60" i="3"/>
  <c r="E57" i="3"/>
  <c r="G54" i="3"/>
  <c r="G52" i="3"/>
  <c r="E53" i="3"/>
  <c r="F55" i="3"/>
  <c r="F54" i="3"/>
  <c r="F51" i="3"/>
  <c r="E54" i="3"/>
  <c r="E55" i="3"/>
  <c r="I52" i="3"/>
  <c r="H52" i="3"/>
  <c r="G55" i="3"/>
  <c r="G53" i="3"/>
  <c r="F53" i="3"/>
  <c r="I51" i="3"/>
  <c r="F52" i="3"/>
  <c r="I54" i="3"/>
  <c r="I53" i="3"/>
  <c r="I79" i="3" s="1"/>
  <c r="H5" i="6" s="1"/>
  <c r="H17" i="6" s="1"/>
  <c r="H51" i="3"/>
  <c r="D30" i="5"/>
  <c r="D14" i="6" s="1"/>
  <c r="E30" i="5"/>
  <c r="E14" i="6" s="1"/>
  <c r="F25" i="5"/>
  <c r="G26" i="5"/>
  <c r="F26" i="5"/>
  <c r="F27" i="5"/>
  <c r="G27" i="5"/>
  <c r="H27" i="5"/>
  <c r="F28" i="5"/>
  <c r="G28" i="5"/>
  <c r="H28" i="5"/>
  <c r="F29" i="5"/>
  <c r="G29" i="5"/>
  <c r="H29" i="5"/>
  <c r="I7" i="5"/>
  <c r="I5" i="5"/>
  <c r="I6" i="5"/>
  <c r="I4" i="5"/>
  <c r="D9" i="3"/>
  <c r="E82" i="3" l="1"/>
  <c r="D8" i="6" s="1"/>
  <c r="D20" i="6" s="1"/>
  <c r="H78" i="3"/>
  <c r="G4" i="6" s="1"/>
  <c r="G16" i="6" s="1"/>
  <c r="E80" i="3"/>
  <c r="D6" i="6" s="1"/>
  <c r="D18" i="6" s="1"/>
  <c r="G25" i="5"/>
  <c r="F9" i="6"/>
  <c r="G82" i="3"/>
  <c r="F8" i="6" s="1"/>
  <c r="I82" i="3"/>
  <c r="H8" i="6" s="1"/>
  <c r="F82" i="3"/>
  <c r="E8" i="6" s="1"/>
  <c r="E20" i="6" s="1"/>
  <c r="H82" i="3"/>
  <c r="G8" i="6" s="1"/>
  <c r="F79" i="3"/>
  <c r="E5" i="6" s="1"/>
  <c r="E17" i="6" s="1"/>
  <c r="F80" i="3"/>
  <c r="E6" i="6" s="1"/>
  <c r="E18" i="6" s="1"/>
  <c r="I81" i="3"/>
  <c r="H7" i="6" s="1"/>
  <c r="H19" i="6" s="1"/>
  <c r="H77" i="3"/>
  <c r="G3" i="6" s="1"/>
  <c r="G77" i="3"/>
  <c r="F3" i="6" s="1"/>
  <c r="I80" i="3"/>
  <c r="H6" i="6" s="1"/>
  <c r="H18" i="6" s="1"/>
  <c r="H79" i="3"/>
  <c r="G5" i="6" s="1"/>
  <c r="G17" i="6" s="1"/>
  <c r="G80" i="3"/>
  <c r="F6" i="6" s="1"/>
  <c r="F18" i="6" s="1"/>
  <c r="F81" i="3"/>
  <c r="E7" i="6" s="1"/>
  <c r="E19" i="6" s="1"/>
  <c r="G81" i="3"/>
  <c r="F7" i="6" s="1"/>
  <c r="F19" i="6" s="1"/>
  <c r="E79" i="3"/>
  <c r="D5" i="6" s="1"/>
  <c r="D17" i="6" s="1"/>
  <c r="I78" i="3"/>
  <c r="H4" i="6" s="1"/>
  <c r="H16" i="6" s="1"/>
  <c r="E78" i="3"/>
  <c r="D4" i="6" s="1"/>
  <c r="D16" i="6" s="1"/>
  <c r="G79" i="3"/>
  <c r="F5" i="6" s="1"/>
  <c r="F17" i="6" s="1"/>
  <c r="E77" i="3"/>
  <c r="D3" i="6" s="1"/>
  <c r="D15" i="6" s="1"/>
  <c r="G78" i="3"/>
  <c r="F4" i="6" s="1"/>
  <c r="F16" i="6" s="1"/>
  <c r="E81" i="3"/>
  <c r="D7" i="6" s="1"/>
  <c r="D19" i="6" s="1"/>
  <c r="F78" i="3"/>
  <c r="E4" i="6" s="1"/>
  <c r="E16" i="6" s="1"/>
  <c r="I77" i="3"/>
  <c r="H3" i="6" s="1"/>
  <c r="F77" i="3"/>
  <c r="E3" i="6" s="1"/>
  <c r="E15" i="6" s="1"/>
  <c r="H81" i="3"/>
  <c r="G7" i="6" s="1"/>
  <c r="G19" i="6" s="1"/>
  <c r="F30" i="5"/>
  <c r="F14" i="6" s="1"/>
  <c r="G30" i="5"/>
  <c r="G14" i="6" s="1"/>
  <c r="F26" i="3"/>
  <c r="F25" i="3"/>
  <c r="F27" i="3"/>
  <c r="G26" i="3"/>
  <c r="G25" i="3"/>
  <c r="G27" i="3"/>
  <c r="D7" i="4"/>
  <c r="H59" i="4"/>
  <c r="G59" i="4"/>
  <c r="F59" i="4"/>
  <c r="H58" i="4"/>
  <c r="G58" i="4"/>
  <c r="F58" i="4"/>
  <c r="H57" i="4"/>
  <c r="G57" i="4"/>
  <c r="F57" i="4"/>
  <c r="C67" i="4"/>
  <c r="D66" i="4" s="1"/>
  <c r="E53" i="4"/>
  <c r="H49" i="4" s="1"/>
  <c r="D53" i="4"/>
  <c r="G52" i="4" s="1"/>
  <c r="C53" i="4"/>
  <c r="F47" i="4" s="1"/>
  <c r="E44" i="4"/>
  <c r="H40" i="4" s="1"/>
  <c r="D44" i="4"/>
  <c r="G43" i="4" s="1"/>
  <c r="C44" i="4"/>
  <c r="F38" i="4" s="1"/>
  <c r="C31" i="4"/>
  <c r="D28" i="4" s="1"/>
  <c r="I13" i="4"/>
  <c r="I12" i="4"/>
  <c r="I11" i="4"/>
  <c r="I10" i="4"/>
  <c r="I9" i="4"/>
  <c r="H7" i="4"/>
  <c r="G7" i="4"/>
  <c r="F7" i="4"/>
  <c r="E7" i="4"/>
  <c r="F20" i="6" l="1"/>
  <c r="G20" i="6"/>
  <c r="F15" i="6"/>
  <c r="H25" i="5"/>
  <c r="G9" i="6"/>
  <c r="G15" i="6" s="1"/>
  <c r="D34" i="3"/>
  <c r="D35" i="3"/>
  <c r="D36" i="3"/>
  <c r="D31" i="4"/>
  <c r="D33" i="4"/>
  <c r="F53" i="4"/>
  <c r="G53" i="4"/>
  <c r="D67" i="4"/>
  <c r="H53" i="4"/>
  <c r="F51" i="4"/>
  <c r="G51" i="4"/>
  <c r="F44" i="4"/>
  <c r="F37" i="4"/>
  <c r="G47" i="4"/>
  <c r="F39" i="4"/>
  <c r="F40" i="4"/>
  <c r="F49" i="4"/>
  <c r="F48" i="4"/>
  <c r="F41" i="4"/>
  <c r="F50" i="4"/>
  <c r="D64" i="4"/>
  <c r="D65" i="4"/>
  <c r="G37" i="4"/>
  <c r="F42" i="4"/>
  <c r="G38" i="4"/>
  <c r="G42" i="4"/>
  <c r="H47" i="4"/>
  <c r="H51" i="4"/>
  <c r="H38" i="4"/>
  <c r="H42" i="4"/>
  <c r="H52" i="4"/>
  <c r="H43" i="4"/>
  <c r="H48" i="4"/>
  <c r="H50" i="4"/>
  <c r="H41" i="4"/>
  <c r="H39" i="4"/>
  <c r="D21" i="4"/>
  <c r="D29" i="4"/>
  <c r="D25" i="4"/>
  <c r="D16" i="4"/>
  <c r="D22" i="4"/>
  <c r="D30" i="4"/>
  <c r="G41" i="4"/>
  <c r="G50" i="4"/>
  <c r="D23" i="4"/>
  <c r="D17" i="4"/>
  <c r="D24" i="4"/>
  <c r="G39" i="4"/>
  <c r="G48" i="4"/>
  <c r="D26" i="4"/>
  <c r="D19" i="4"/>
  <c r="D27" i="4"/>
  <c r="H37" i="4"/>
  <c r="G40" i="4"/>
  <c r="F43" i="4"/>
  <c r="H44" i="4"/>
  <c r="G49" i="4"/>
  <c r="F52" i="4"/>
  <c r="D18" i="4"/>
  <c r="G44" i="4"/>
  <c r="D20" i="4"/>
  <c r="H30" i="5" l="1"/>
  <c r="H14" i="6" s="1"/>
  <c r="H20" i="6" s="1"/>
  <c r="H9" i="6"/>
  <c r="H15" i="6" s="1"/>
</calcChain>
</file>

<file path=xl/sharedStrings.xml><?xml version="1.0" encoding="utf-8"?>
<sst xmlns="http://schemas.openxmlformats.org/spreadsheetml/2006/main" count="335" uniqueCount="190">
  <si>
    <t>Medios</t>
  </si>
  <si>
    <t>Brigada de Tránsito</t>
  </si>
  <si>
    <t>Sistema de Vigilancia</t>
  </si>
  <si>
    <t>No</t>
  </si>
  <si>
    <t>Agentes de tránsito</t>
  </si>
  <si>
    <t>Motocicleta</t>
  </si>
  <si>
    <t>Radio comunicador</t>
  </si>
  <si>
    <t>Radar de velocidad</t>
  </si>
  <si>
    <t>Alcoholímetro</t>
  </si>
  <si>
    <t>Recursos</t>
  </si>
  <si>
    <t>agentes x 8 hrs</t>
  </si>
  <si>
    <t>Dotación de agentes operativa</t>
  </si>
  <si>
    <t>Agentes</t>
  </si>
  <si>
    <t>Motocicletas</t>
  </si>
  <si>
    <t>Horas promedio diario de uso</t>
  </si>
  <si>
    <t>Lunes-Viernes 08 - 24</t>
  </si>
  <si>
    <t>08 - 24</t>
  </si>
  <si>
    <t xml:space="preserve">00 - 8 </t>
  </si>
  <si>
    <t>Sabado - Domingo 08 - 24</t>
  </si>
  <si>
    <t>Lunes-Viernes 00 - 8</t>
  </si>
  <si>
    <t>Sabado - Domingo 00 - 8</t>
  </si>
  <si>
    <t>Número de puntos de control</t>
  </si>
  <si>
    <t>Duración de la vigilancia (minutos)</t>
  </si>
  <si>
    <t>Lunes a Viernes</t>
  </si>
  <si>
    <t>Sabado a Domingo</t>
  </si>
  <si>
    <t>Número de turnos</t>
  </si>
  <si>
    <t>Puntos de control promedio diario por turno</t>
  </si>
  <si>
    <t>Tiempo de traslado</t>
  </si>
  <si>
    <t>Tiempo en el punto</t>
  </si>
  <si>
    <t>Número de días</t>
  </si>
  <si>
    <t>Accidentes</t>
  </si>
  <si>
    <t>Muertes</t>
  </si>
  <si>
    <t>Lesionados</t>
  </si>
  <si>
    <t>Managua</t>
  </si>
  <si>
    <t>Chinandega</t>
  </si>
  <si>
    <t>Matagalpa</t>
  </si>
  <si>
    <t>Masaya</t>
  </si>
  <si>
    <t>León</t>
  </si>
  <si>
    <t>No guardar distancia</t>
  </si>
  <si>
    <t>Invadir carril</t>
  </si>
  <si>
    <t>Desatender señales</t>
  </si>
  <si>
    <t>Falta de precaución al retroceder</t>
  </si>
  <si>
    <t>Giros indebidos</t>
  </si>
  <si>
    <t>Interceptar el paso</t>
  </si>
  <si>
    <t>Otras causas</t>
  </si>
  <si>
    <t>Conducir contra la vía</t>
  </si>
  <si>
    <t>Falta de pericia</t>
  </si>
  <si>
    <t>Imprudencia peatonal</t>
  </si>
  <si>
    <t>No hacer alto</t>
  </si>
  <si>
    <t>Mal estado mécanico</t>
  </si>
  <si>
    <t>Exceso de velocidad</t>
  </si>
  <si>
    <t>Violación peatonal</t>
  </si>
  <si>
    <t>Caida de pasajeros</t>
  </si>
  <si>
    <t>Colisión entre vehículo</t>
  </si>
  <si>
    <t>Muertos</t>
  </si>
  <si>
    <t>Lunes</t>
  </si>
  <si>
    <t>Martes</t>
  </si>
  <si>
    <t>Miércoles</t>
  </si>
  <si>
    <t>Jueves</t>
  </si>
  <si>
    <t>Viernes</t>
  </si>
  <si>
    <t>Sábado</t>
  </si>
  <si>
    <t>Domingo</t>
  </si>
  <si>
    <t>00-04</t>
  </si>
  <si>
    <t>05-08</t>
  </si>
  <si>
    <t>09-12</t>
  </si>
  <si>
    <t>13-16</t>
  </si>
  <si>
    <t>17-20</t>
  </si>
  <si>
    <t>21-24</t>
  </si>
  <si>
    <t>Conductor</t>
  </si>
  <si>
    <t>Pasajero</t>
  </si>
  <si>
    <t xml:space="preserve">Peáton </t>
  </si>
  <si>
    <t>Autos</t>
  </si>
  <si>
    <t>Tasá de crecimiento</t>
  </si>
  <si>
    <t>Departamentos</t>
  </si>
  <si>
    <t>%</t>
  </si>
  <si>
    <t>n/a</t>
  </si>
  <si>
    <t>Total</t>
  </si>
  <si>
    <t>Número de accidentes de tránsito en Managua por causa en 2015</t>
  </si>
  <si>
    <t>n.d</t>
  </si>
  <si>
    <t>Número de accidentes, muertos y lesionados por tipo de vehiculo involucrado 2015</t>
  </si>
  <si>
    <t>Número de accidentes, muertos y lesionados por horas del día en 2015</t>
  </si>
  <si>
    <t>Número de accidentes, muertos y lesionados por días de la demanda en 2015</t>
  </si>
  <si>
    <t>Muertes por accidentes de tránsito en Managua 2015</t>
  </si>
  <si>
    <t>AT</t>
  </si>
  <si>
    <t>MTC</t>
  </si>
  <si>
    <t>RC</t>
  </si>
  <si>
    <t>RV</t>
  </si>
  <si>
    <t>ACHL</t>
  </si>
  <si>
    <t>nt</t>
  </si>
  <si>
    <t>EEMTC</t>
  </si>
  <si>
    <t>EEAT</t>
  </si>
  <si>
    <t>DAT</t>
  </si>
  <si>
    <t>DMTC</t>
  </si>
  <si>
    <t>DRC</t>
  </si>
  <si>
    <t>DRV</t>
  </si>
  <si>
    <t>DACHL</t>
  </si>
  <si>
    <t>PCD</t>
  </si>
  <si>
    <t>PC</t>
  </si>
  <si>
    <t>NT</t>
  </si>
  <si>
    <t>mv</t>
  </si>
  <si>
    <t>mp</t>
  </si>
  <si>
    <t>Frecuencia de la Vigilancia por mes en un punto de control</t>
  </si>
  <si>
    <t>FVPC</t>
  </si>
  <si>
    <t>5&lt;</t>
  </si>
  <si>
    <t>≥1</t>
  </si>
  <si>
    <t>Inventario de medios de transporte, frecuencia por años de uso</t>
  </si>
  <si>
    <t>Recurso</t>
  </si>
  <si>
    <t>DOVMTC</t>
  </si>
  <si>
    <t>DOVRC</t>
  </si>
  <si>
    <t>DOVRV</t>
  </si>
  <si>
    <t>DOVACHL</t>
  </si>
  <si>
    <t>Demanda del sistema de vigilancia por recursos</t>
  </si>
  <si>
    <t>Jornada de trabajo semanal</t>
  </si>
  <si>
    <t>EERC</t>
  </si>
  <si>
    <t>EERV</t>
  </si>
  <si>
    <t>EEALCH</t>
  </si>
  <si>
    <t>JS</t>
  </si>
  <si>
    <t>Parámetro</t>
  </si>
  <si>
    <t>3. Técnica Policial</t>
  </si>
  <si>
    <t>2. Recursos de transporte</t>
  </si>
  <si>
    <t>1. Agentes</t>
  </si>
  <si>
    <t>1. Brigada de Tránsito</t>
  </si>
  <si>
    <t>1. Agentes de tránsito</t>
  </si>
  <si>
    <t>2. Motocicleta</t>
  </si>
  <si>
    <t>3. Radio comunicador</t>
  </si>
  <si>
    <t>4. Radar de velocidad</t>
  </si>
  <si>
    <t>5. Alcoholímetro</t>
  </si>
  <si>
    <t>QrAT</t>
  </si>
  <si>
    <t>QrSVT</t>
  </si>
  <si>
    <t>QrMTC</t>
  </si>
  <si>
    <t>QrRC</t>
  </si>
  <si>
    <t>QrRV</t>
  </si>
  <si>
    <t>QrACHL</t>
  </si>
  <si>
    <t>Estandares de explotación (EE)</t>
  </si>
  <si>
    <t>Dotación operativa requerida del sistema de vigilancia</t>
  </si>
  <si>
    <t>DPC</t>
  </si>
  <si>
    <t>CoefDOA</t>
  </si>
  <si>
    <t>Oferta del Sistema de Vigilancia por recursos</t>
  </si>
  <si>
    <t>FMTC</t>
  </si>
  <si>
    <t>FRC</t>
  </si>
  <si>
    <t>FRV</t>
  </si>
  <si>
    <t>FACHL</t>
  </si>
  <si>
    <t>FAT</t>
  </si>
  <si>
    <t>A</t>
  </si>
  <si>
    <t>Agentes de la Dirección de Tránsito</t>
  </si>
  <si>
    <t>Unidad de Medida</t>
  </si>
  <si>
    <t>Horas</t>
  </si>
  <si>
    <t>Jornada de trabajo díaría</t>
  </si>
  <si>
    <t>Porcentaje del tiempo destinado a vigilancia</t>
  </si>
  <si>
    <t>TCE</t>
  </si>
  <si>
    <t>JD</t>
  </si>
  <si>
    <t>Horas agente para vigilancia de tránsito</t>
  </si>
  <si>
    <t>Estadísticas de accidentes de tránsito nivel nacional</t>
  </si>
  <si>
    <t>Frecuencia promedio de accidentes anual</t>
  </si>
  <si>
    <t>283</t>
  </si>
  <si>
    <t>513.5</t>
  </si>
  <si>
    <t>Numeró de puntos de control proyectados a 5 años por accidentes promedio anual en PC</t>
  </si>
  <si>
    <t>Brigadas</t>
  </si>
  <si>
    <t>Turno</t>
  </si>
  <si>
    <t>Agente</t>
  </si>
  <si>
    <t>08-24 hrs</t>
  </si>
  <si>
    <t>00-08 hrs</t>
  </si>
  <si>
    <t>Medios/Recursos</t>
  </si>
  <si>
    <t>Días</t>
  </si>
  <si>
    <t>Sabado  a Domingo</t>
  </si>
  <si>
    <t>Escenario</t>
  </si>
  <si>
    <t>Descripción</t>
  </si>
  <si>
    <t>Requerimientos de Medios/Recursos proyectada</t>
  </si>
  <si>
    <t>HATA</t>
  </si>
  <si>
    <t>Demanda</t>
  </si>
  <si>
    <t>Párametro</t>
  </si>
  <si>
    <t>Oferta</t>
  </si>
  <si>
    <t>DOAT</t>
  </si>
  <si>
    <t>Brecha</t>
  </si>
  <si>
    <t>DOHATA</t>
  </si>
  <si>
    <t>BHAT</t>
  </si>
  <si>
    <t>Dimensión</t>
  </si>
  <si>
    <t>Suma de 2018</t>
  </si>
  <si>
    <t>Suma de 2019</t>
  </si>
  <si>
    <t>Suma de 2020</t>
  </si>
  <si>
    <t>Suma de 2021</t>
  </si>
  <si>
    <t>Suma de 2022</t>
  </si>
  <si>
    <t>Valores</t>
  </si>
  <si>
    <t>Etiquetas de columna</t>
  </si>
  <si>
    <t>Nota</t>
  </si>
  <si>
    <t>Si cambio de escenario, para actualizar la tabla y gráfico será necesario dar click derecho sobre el área del gráfico o de la tabla y click en actualizar.</t>
  </si>
  <si>
    <t>BT</t>
  </si>
  <si>
    <t>ndv</t>
  </si>
  <si>
    <t>Demanda del sistema de vigilancia por recursos mensual</t>
  </si>
  <si>
    <t>BACHL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</si>
</sst>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3" xfId="0" applyFill="1" applyBorder="1"/>
    <xf numFmtId="0" fontId="0" fillId="2" borderId="5" xfId="0" applyFill="1" applyBorder="1"/>
    <xf numFmtId="0" fontId="0" fillId="3" borderId="0" xfId="0" applyFill="1" applyAlignment="1">
      <alignment wrapTex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5" xfId="0" applyFill="1" applyBorder="1"/>
    <xf numFmtId="0" fontId="0" fillId="3" borderId="4" xfId="0" applyFill="1" applyBorder="1" applyAlignment="1">
      <alignment horizontal="left" wrapText="1"/>
    </xf>
    <xf numFmtId="0" fontId="0" fillId="3" borderId="4" xfId="0" applyFill="1" applyBorder="1" applyAlignment="1">
      <alignment horizontal="left" wrapText="1" indent="3"/>
    </xf>
    <xf numFmtId="0" fontId="0" fillId="3" borderId="6" xfId="0" applyFill="1" applyBorder="1" applyAlignment="1">
      <alignment horizontal="left" wrapText="1" indent="3"/>
    </xf>
    <xf numFmtId="0" fontId="0" fillId="3" borderId="8" xfId="0" applyFill="1" applyBorder="1"/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0" fontId="0" fillId="3" borderId="0" xfId="0" applyFill="1" applyBorder="1"/>
    <xf numFmtId="0" fontId="0" fillId="3" borderId="4" xfId="0" applyFill="1" applyBorder="1" applyAlignment="1">
      <alignment horizontal="left" indent="1"/>
    </xf>
    <xf numFmtId="0" fontId="0" fillId="3" borderId="4" xfId="0" applyFill="1" applyBorder="1" applyAlignment="1">
      <alignment horizontal="left" indent="2"/>
    </xf>
    <xf numFmtId="0" fontId="0" fillId="3" borderId="0" xfId="0" applyFill="1" applyBorder="1" applyAlignment="1">
      <alignment horizontal="left" indent="2"/>
    </xf>
    <xf numFmtId="1" fontId="0" fillId="3" borderId="0" xfId="0" applyNumberFormat="1" applyFill="1"/>
    <xf numFmtId="0" fontId="0" fillId="3" borderId="6" xfId="0" applyFill="1" applyBorder="1" applyAlignment="1">
      <alignment horizontal="left" indent="2"/>
    </xf>
    <xf numFmtId="0" fontId="0" fillId="3" borderId="7" xfId="0" applyFill="1" applyBorder="1" applyAlignment="1">
      <alignment horizontal="left" indent="2"/>
    </xf>
    <xf numFmtId="164" fontId="0" fillId="3" borderId="0" xfId="0" applyNumberFormat="1" applyFill="1"/>
    <xf numFmtId="0" fontId="0" fillId="2" borderId="8" xfId="0" applyFont="1" applyFill="1" applyBorder="1"/>
    <xf numFmtId="0" fontId="0" fillId="4" borderId="5" xfId="0" applyFill="1" applyBorder="1"/>
    <xf numFmtId="1" fontId="0" fillId="4" borderId="10" xfId="0" applyNumberFormat="1" applyFill="1" applyBorder="1"/>
    <xf numFmtId="1" fontId="0" fillId="4" borderId="0" xfId="0" applyNumberFormat="1" applyFill="1" applyBorder="1"/>
    <xf numFmtId="1" fontId="0" fillId="4" borderId="5" xfId="0" applyNumberFormat="1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0" fontId="0" fillId="2" borderId="0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3" borderId="2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2" fontId="0" fillId="3" borderId="0" xfId="0" applyNumberFormat="1" applyFill="1"/>
    <xf numFmtId="2" fontId="0" fillId="4" borderId="5" xfId="0" applyNumberFormat="1" applyFill="1" applyBorder="1"/>
    <xf numFmtId="0" fontId="0" fillId="3" borderId="0" xfId="0" applyFill="1" applyAlignment="1"/>
    <xf numFmtId="0" fontId="0" fillId="3" borderId="6" xfId="0" applyFill="1" applyBorder="1"/>
    <xf numFmtId="0" fontId="0" fillId="3" borderId="7" xfId="0" applyFill="1" applyBorder="1"/>
    <xf numFmtId="0" fontId="0" fillId="3" borderId="4" xfId="0" applyFill="1" applyBorder="1" applyAlignment="1"/>
    <xf numFmtId="0" fontId="0" fillId="3" borderId="6" xfId="0" applyFill="1" applyBorder="1" applyAlignment="1"/>
    <xf numFmtId="0" fontId="0" fillId="3" borderId="5" xfId="0" applyFill="1" applyBorder="1" applyAlignment="1">
      <alignment wrapText="1"/>
    </xf>
    <xf numFmtId="49" fontId="0" fillId="3" borderId="4" xfId="0" applyNumberFormat="1" applyFill="1" applyBorder="1" applyAlignment="1">
      <alignment horizontal="left" indent="3"/>
    </xf>
    <xf numFmtId="0" fontId="0" fillId="3" borderId="4" xfId="0" applyFill="1" applyBorder="1" applyAlignment="1">
      <alignment horizontal="left" indent="3"/>
    </xf>
    <xf numFmtId="0" fontId="0" fillId="3" borderId="4" xfId="0" applyFill="1" applyBorder="1" applyAlignment="1">
      <alignment horizontal="left"/>
    </xf>
    <xf numFmtId="0" fontId="0" fillId="3" borderId="6" xfId="0" applyFill="1" applyBorder="1" applyAlignment="1">
      <alignment horizontal="left" indent="3"/>
    </xf>
    <xf numFmtId="0" fontId="0" fillId="3" borderId="7" xfId="0" applyFill="1" applyBorder="1" applyAlignment="1">
      <alignment wrapText="1"/>
    </xf>
    <xf numFmtId="0" fontId="0" fillId="3" borderId="9" xfId="0" applyFill="1" applyBorder="1"/>
    <xf numFmtId="0" fontId="0" fillId="3" borderId="11" xfId="0" applyFill="1" applyBorder="1"/>
    <xf numFmtId="0" fontId="0" fillId="3" borderId="10" xfId="0" applyFill="1" applyBorder="1" applyAlignment="1">
      <alignment wrapText="1"/>
    </xf>
    <xf numFmtId="164" fontId="0" fillId="3" borderId="0" xfId="0" applyNumberFormat="1" applyFill="1" applyAlignment="1">
      <alignment horizontal="left" indent="3"/>
    </xf>
    <xf numFmtId="0" fontId="0" fillId="3" borderId="0" xfId="0" applyFill="1" applyBorder="1" applyAlignment="1"/>
    <xf numFmtId="9" fontId="0" fillId="3" borderId="0" xfId="1" applyFont="1" applyFill="1" applyBorder="1"/>
    <xf numFmtId="0" fontId="0" fillId="3" borderId="1" xfId="0" applyFill="1" applyBorder="1"/>
    <xf numFmtId="0" fontId="0" fillId="3" borderId="2" xfId="0" applyFill="1" applyBorder="1"/>
    <xf numFmtId="9" fontId="0" fillId="3" borderId="3" xfId="0" applyNumberFormat="1" applyFill="1" applyBorder="1"/>
    <xf numFmtId="9" fontId="0" fillId="3" borderId="5" xfId="0" applyNumberFormat="1" applyFill="1" applyBorder="1"/>
    <xf numFmtId="9" fontId="0" fillId="3" borderId="5" xfId="1" applyFont="1" applyFill="1" applyBorder="1"/>
    <xf numFmtId="9" fontId="0" fillId="3" borderId="8" xfId="1" applyFont="1" applyFill="1" applyBorder="1"/>
    <xf numFmtId="0" fontId="0" fillId="3" borderId="3" xfId="0" applyFill="1" applyBorder="1"/>
    <xf numFmtId="0" fontId="0" fillId="3" borderId="10" xfId="0" applyFill="1" applyBorder="1"/>
    <xf numFmtId="1" fontId="0" fillId="3" borderId="0" xfId="0" applyNumberFormat="1" applyFill="1" applyBorder="1"/>
    <xf numFmtId="49" fontId="0" fillId="3" borderId="4" xfId="0" applyNumberFormat="1" applyFill="1" applyBorder="1" applyAlignment="1">
      <alignment horizontal="left"/>
    </xf>
    <xf numFmtId="49" fontId="0" fillId="3" borderId="4" xfId="0" applyNumberFormat="1" applyFill="1" applyBorder="1" applyAlignment="1">
      <alignment horizontal="left" wrapText="1"/>
    </xf>
    <xf numFmtId="165" fontId="0" fillId="3" borderId="0" xfId="1" applyNumberFormat="1" applyFont="1" applyFill="1" applyBorder="1"/>
    <xf numFmtId="0" fontId="0" fillId="3" borderId="4" xfId="0" applyFill="1" applyBorder="1" applyAlignment="1">
      <alignment horizontal="left" indent="4"/>
    </xf>
    <xf numFmtId="165" fontId="0" fillId="3" borderId="5" xfId="1" applyNumberFormat="1" applyFont="1" applyFill="1" applyBorder="1"/>
    <xf numFmtId="1" fontId="0" fillId="3" borderId="0" xfId="1" applyNumberFormat="1" applyFont="1" applyFill="1"/>
    <xf numFmtId="165" fontId="0" fillId="3" borderId="0" xfId="1" applyNumberFormat="1" applyFont="1" applyFill="1"/>
    <xf numFmtId="0" fontId="0" fillId="3" borderId="6" xfId="0" applyFill="1" applyBorder="1" applyAlignment="1">
      <alignment horizontal="left" indent="4"/>
    </xf>
    <xf numFmtId="165" fontId="0" fillId="3" borderId="8" xfId="1" applyNumberFormat="1" applyFont="1" applyFill="1" applyBorder="1"/>
    <xf numFmtId="165" fontId="0" fillId="3" borderId="0" xfId="0" applyNumberFormat="1" applyFill="1"/>
    <xf numFmtId="165" fontId="0" fillId="3" borderId="3" xfId="1" applyNumberFormat="1" applyFont="1" applyFill="1" applyBorder="1"/>
    <xf numFmtId="165" fontId="0" fillId="3" borderId="10" xfId="1" applyNumberFormat="1" applyFont="1" applyFill="1" applyBorder="1"/>
    <xf numFmtId="9" fontId="0" fillId="3" borderId="0" xfId="1" applyNumberFormat="1" applyFont="1" applyFill="1" applyBorder="1"/>
    <xf numFmtId="9" fontId="0" fillId="3" borderId="5" xfId="1" applyNumberFormat="1" applyFont="1" applyFill="1" applyBorder="1"/>
    <xf numFmtId="9" fontId="0" fillId="3" borderId="7" xfId="1" applyNumberFormat="1" applyFont="1" applyFill="1" applyBorder="1"/>
    <xf numFmtId="9" fontId="0" fillId="3" borderId="8" xfId="1" applyNumberFormat="1" applyFont="1" applyFill="1" applyBorder="1"/>
    <xf numFmtId="49" fontId="0" fillId="3" borderId="1" xfId="0" applyNumberFormat="1" applyFill="1" applyBorder="1"/>
    <xf numFmtId="9" fontId="0" fillId="3" borderId="2" xfId="1" applyFont="1" applyFill="1" applyBorder="1"/>
    <xf numFmtId="9" fontId="0" fillId="3" borderId="3" xfId="1" applyFont="1" applyFill="1" applyBorder="1"/>
    <xf numFmtId="49" fontId="0" fillId="3" borderId="4" xfId="0" applyNumberFormat="1" applyFill="1" applyBorder="1"/>
    <xf numFmtId="49" fontId="0" fillId="3" borderId="6" xfId="0" applyNumberFormat="1" applyFill="1" applyBorder="1"/>
    <xf numFmtId="9" fontId="0" fillId="3" borderId="7" xfId="1" applyFont="1" applyFill="1" applyBorder="1"/>
    <xf numFmtId="165" fontId="0" fillId="3" borderId="7" xfId="1" applyNumberFormat="1" applyFont="1" applyFill="1" applyBorder="1"/>
    <xf numFmtId="49" fontId="0" fillId="3" borderId="1" xfId="0" applyNumberFormat="1" applyFill="1" applyBorder="1" applyAlignment="1">
      <alignment horizontal="center" wrapText="1"/>
    </xf>
    <xf numFmtId="49" fontId="0" fillId="3" borderId="6" xfId="0" applyNumberFormat="1" applyFill="1" applyBorder="1" applyAlignment="1">
      <alignment horizontal="center" wrapText="1"/>
    </xf>
    <xf numFmtId="0" fontId="0" fillId="3" borderId="6" xfId="0" applyFill="1" applyBorder="1" applyAlignment="1">
      <alignment wrapText="1"/>
    </xf>
    <xf numFmtId="0" fontId="0" fillId="3" borderId="5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49" fontId="0" fillId="3" borderId="1" xfId="0" applyNumberForma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49" fontId="0" fillId="3" borderId="4" xfId="0" applyNumberFormat="1" applyFill="1" applyBorder="1" applyAlignment="1"/>
    <xf numFmtId="0" fontId="0" fillId="3" borderId="0" xfId="0" applyFill="1" applyBorder="1" applyAlignment="1">
      <alignment horizontal="left"/>
    </xf>
    <xf numFmtId="49" fontId="0" fillId="3" borderId="6" xfId="0" applyNumberFormat="1" applyFill="1" applyBorder="1" applyAlignment="1"/>
    <xf numFmtId="0" fontId="0" fillId="3" borderId="7" xfId="0" applyFill="1" applyBorder="1" applyAlignment="1">
      <alignment horizontal="left"/>
    </xf>
    <xf numFmtId="0" fontId="0" fillId="3" borderId="11" xfId="0" applyFill="1" applyBorder="1" applyAlignment="1"/>
    <xf numFmtId="0" fontId="0" fillId="3" borderId="10" xfId="0" applyFill="1" applyBorder="1" applyAlignment="1"/>
    <xf numFmtId="0" fontId="0" fillId="3" borderId="12" xfId="0" applyFill="1" applyBorder="1" applyAlignment="1"/>
    <xf numFmtId="9" fontId="0" fillId="0" borderId="0" xfId="0" applyNumberFormat="1"/>
    <xf numFmtId="0" fontId="0" fillId="2" borderId="0" xfId="0" applyFill="1" applyBorder="1"/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5" borderId="5" xfId="0" applyFill="1" applyBorder="1" applyAlignment="1">
      <alignment wrapText="1"/>
    </xf>
    <xf numFmtId="9" fontId="0" fillId="5" borderId="5" xfId="0" applyNumberFormat="1" applyFill="1" applyBorder="1" applyAlignment="1">
      <alignment wrapText="1"/>
    </xf>
    <xf numFmtId="0" fontId="0" fillId="5" borderId="8" xfId="0" applyFill="1" applyBorder="1" applyAlignment="1">
      <alignment wrapText="1"/>
    </xf>
    <xf numFmtId="165" fontId="0" fillId="5" borderId="5" xfId="1" applyNumberFormat="1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3" fontId="0" fillId="3" borderId="11" xfId="0" applyNumberFormat="1" applyFill="1" applyBorder="1"/>
    <xf numFmtId="3" fontId="0" fillId="3" borderId="10" xfId="0" applyNumberFormat="1" applyFill="1" applyBorder="1"/>
    <xf numFmtId="1" fontId="0" fillId="3" borderId="5" xfId="0" applyNumberFormat="1" applyFill="1" applyBorder="1"/>
    <xf numFmtId="3" fontId="0" fillId="3" borderId="7" xfId="0" applyNumberFormat="1" applyFill="1" applyBorder="1"/>
    <xf numFmtId="3" fontId="0" fillId="3" borderId="8" xfId="0" applyNumberFormat="1" applyFill="1" applyBorder="1"/>
    <xf numFmtId="0" fontId="0" fillId="3" borderId="0" xfId="0" applyFill="1" applyAlignment="1">
      <alignment horizontal="left"/>
    </xf>
    <xf numFmtId="0" fontId="0" fillId="3" borderId="0" xfId="0" applyNumberFormat="1" applyFill="1"/>
    <xf numFmtId="0" fontId="2" fillId="2" borderId="0" xfId="0" applyFont="1" applyFill="1"/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2" fontId="0" fillId="6" borderId="2" xfId="0" applyNumberFormat="1" applyFill="1" applyBorder="1" applyAlignment="1">
      <alignment horizontal="center" wrapText="1"/>
    </xf>
    <xf numFmtId="2" fontId="0" fillId="6" borderId="3" xfId="0" applyNumberFormat="1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35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Estadisticas!$B$4</c:f>
              <c:strCache>
                <c:ptCount val="1"/>
                <c:pt idx="0">
                  <c:v>Accidentes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Estadisticas!$C$3:$H$3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Estadisticas!$C$4:$H$4</c:f>
              <c:numCache>
                <c:formatCode>General</c:formatCode>
                <c:ptCount val="6"/>
                <c:pt idx="0">
                  <c:v>23797</c:v>
                </c:pt>
                <c:pt idx="1">
                  <c:v>24573</c:v>
                </c:pt>
                <c:pt idx="2">
                  <c:v>26164</c:v>
                </c:pt>
                <c:pt idx="3">
                  <c:v>27170</c:v>
                </c:pt>
                <c:pt idx="4">
                  <c:v>28587</c:v>
                </c:pt>
                <c:pt idx="5">
                  <c:v>33673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C-4075-A848-59328BCD7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0900320"/>
        <c:axId val="1370900736"/>
      </c:barChart>
      <c:lineChart>
        <c:grouping val="standard"/>
        <c:varyColors val="0"/>
        <c:ser>
          <c:idx val="1"/>
          <c:order val="1"/>
          <c:tx>
            <c:strRef>
              <c:f>Estadisticas!$B$5</c:f>
              <c:strCache>
                <c:ptCount val="1"/>
                <c:pt idx="0">
                  <c:v>Muertes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Estadisticas!$C$3:$H$3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Estadisticas!$C$5:$H$5</c:f>
              <c:numCache>
                <c:formatCode>General</c:formatCode>
                <c:ptCount val="6"/>
                <c:pt idx="0">
                  <c:v>571</c:v>
                </c:pt>
                <c:pt idx="1">
                  <c:v>613</c:v>
                </c:pt>
                <c:pt idx="2">
                  <c:v>664</c:v>
                </c:pt>
                <c:pt idx="3">
                  <c:v>577</c:v>
                </c:pt>
                <c:pt idx="4">
                  <c:v>669</c:v>
                </c:pt>
                <c:pt idx="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C-4075-A848-59328BCD71D0}"/>
            </c:ext>
          </c:extLst>
        </c:ser>
        <c:ser>
          <c:idx val="2"/>
          <c:order val="2"/>
          <c:tx>
            <c:strRef>
              <c:f>Estadisticas!$B$6</c:f>
              <c:strCache>
                <c:ptCount val="1"/>
                <c:pt idx="0">
                  <c:v>Lesionados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Estadisticas!$C$3:$H$3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Estadisticas!$C$6:$H$6</c:f>
              <c:numCache>
                <c:formatCode>General</c:formatCode>
                <c:ptCount val="6"/>
                <c:pt idx="0">
                  <c:v>5120</c:v>
                </c:pt>
                <c:pt idx="1">
                  <c:v>5165</c:v>
                </c:pt>
                <c:pt idx="2">
                  <c:v>4830</c:v>
                </c:pt>
                <c:pt idx="3">
                  <c:v>4675</c:v>
                </c:pt>
                <c:pt idx="4">
                  <c:v>4190</c:v>
                </c:pt>
                <c:pt idx="5">
                  <c:v>4115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C-4075-A848-59328BCD7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656896"/>
        <c:axId val="1471338080"/>
      </c:lineChart>
      <c:catAx>
        <c:axId val="137090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1370900736"/>
        <c:crosses val="autoZero"/>
        <c:auto val="1"/>
        <c:lblAlgn val="ctr"/>
        <c:lblOffset val="100"/>
        <c:noMultiLvlLbl val="0"/>
      </c:catAx>
      <c:valAx>
        <c:axId val="13709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NI"/>
                  <a:t>Número</a:t>
                </a:r>
                <a:r>
                  <a:rPr lang="es-NI" baseline="0"/>
                  <a:t> de accidentes de tránsito</a:t>
                </a:r>
                <a:endParaRPr lang="es-N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N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1370900320"/>
        <c:crosses val="autoZero"/>
        <c:crossBetween val="between"/>
      </c:valAx>
      <c:valAx>
        <c:axId val="14713380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NI"/>
                  <a:t>Número</a:t>
                </a:r>
                <a:r>
                  <a:rPr lang="es-NI" baseline="0"/>
                  <a:t> de lesionados y muertes</a:t>
                </a:r>
                <a:endParaRPr lang="es-N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N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1411656896"/>
        <c:crosses val="max"/>
        <c:crossBetween val="between"/>
      </c:valAx>
      <c:catAx>
        <c:axId val="141165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133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[Evaluación iniciativa seguridad.xlsx]BrechaOD!TablaDinámica1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BrechaOD!$B$4:$B$5</c:f>
              <c:strCache>
                <c:ptCount val="1"/>
                <c:pt idx="0">
                  <c:v>BACHL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BrechaOD!$A$6:$A$10</c:f>
              <c:strCache>
                <c:ptCount val="5"/>
                <c:pt idx="0">
                  <c:v>Suma de 2018</c:v>
                </c:pt>
                <c:pt idx="1">
                  <c:v>Suma de 2019</c:v>
                </c:pt>
                <c:pt idx="2">
                  <c:v>Suma de 2020</c:v>
                </c:pt>
                <c:pt idx="3">
                  <c:v>Suma de 2021</c:v>
                </c:pt>
                <c:pt idx="4">
                  <c:v>Suma de 2022</c:v>
                </c:pt>
              </c:strCache>
            </c:strRef>
          </c:cat>
          <c:val>
            <c:numRef>
              <c:f>BrechaOD!$B$6:$B$10</c:f>
              <c:numCache>
                <c:formatCode>General</c:formatCode>
                <c:ptCount val="5"/>
                <c:pt idx="0">
                  <c:v>-8</c:v>
                </c:pt>
                <c:pt idx="1">
                  <c:v>-11</c:v>
                </c:pt>
                <c:pt idx="2">
                  <c:v>-12</c:v>
                </c:pt>
                <c:pt idx="3">
                  <c:v>-13</c:v>
                </c:pt>
                <c:pt idx="4">
                  <c:v>-19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B8-4967-930C-2C7413B53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35312"/>
        <c:axId val="259226768"/>
      </c:barChart>
      <c:catAx>
        <c:axId val="37363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259226768"/>
        <c:crosses val="autoZero"/>
        <c:auto val="1"/>
        <c:lblAlgn val="ctr"/>
        <c:lblOffset val="100"/>
        <c:noMultiLvlLbl val="0"/>
      </c:catAx>
      <c:valAx>
        <c:axId val="25922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NI"/>
          </a:p>
        </c:txPr>
        <c:crossAx val="37363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N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N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</xdr:row>
      <xdr:rowOff>128587</xdr:rowOff>
    </xdr:from>
    <xdr:to>
      <xdr:col>15</xdr:col>
      <xdr:colOff>257175</xdr:colOff>
      <xdr:row>16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171450</xdr:rowOff>
    </xdr:from>
    <xdr:to>
      <xdr:col>12</xdr:col>
      <xdr:colOff>409575</xdr:colOff>
      <xdr:row>15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5150FF-BC23-4C72-97A3-B158586DB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smar Enrique Cuadra Baca" refreshedDate="42844.879334953701" createdVersion="6" refreshedVersion="6" minRefreshableVersion="3" recordCount="18">
  <cacheSource type="worksheet">
    <worksheetSource ref="B2:H20" sheet="Brecha"/>
  </cacheSource>
  <cacheFields count="7">
    <cacheField name="Dimensión" numFmtId="0">
      <sharedItems count="3">
        <s v="Demanda"/>
        <s v="Oferta"/>
        <s v="Brecha"/>
      </sharedItems>
    </cacheField>
    <cacheField name="Párametro" numFmtId="0">
      <sharedItems count="18">
        <s v="DAT"/>
        <s v="DMTC"/>
        <s v="DRC"/>
        <s v="DRV"/>
        <s v="DACHL"/>
        <s v="HATA"/>
        <s v="DOAT"/>
        <s v="DOVMTC"/>
        <s v="DOVRC"/>
        <s v="DOVRV"/>
        <s v="DOVACHL"/>
        <s v="DOHATA"/>
        <s v="BAT"/>
        <s v="BMTC"/>
        <s v="BRC"/>
        <s v="BRV"/>
        <s v="BACHL"/>
        <s v="BHAT"/>
      </sharedItems>
    </cacheField>
    <cacheField name="2018" numFmtId="0">
      <sharedItems containsSemiMixedTypes="0" containsString="0" containsNumber="1" containsInteger="1" minValue="-368576" maxValue="671840"/>
    </cacheField>
    <cacheField name="2019" numFmtId="0">
      <sharedItems containsSemiMixedTypes="0" containsString="0" containsNumber="1" containsInteger="1" minValue="-460512" maxValue="763776"/>
    </cacheField>
    <cacheField name="2020" numFmtId="0">
      <sharedItems containsSemiMixedTypes="0" containsString="0" containsNumber="1" containsInteger="1" minValue="-510016" maxValue="813280"/>
    </cacheField>
    <cacheField name="2021" numFmtId="0">
      <sharedItems containsSemiMixedTypes="0" containsString="0" containsNumber="1" containsInteger="1" minValue="-559520" maxValue="862784"/>
    </cacheField>
    <cacheField name="2022" numFmtId="0">
      <sharedItems containsSemiMixedTypes="0" containsString="0" containsNumber="1" containsInteger="1" minValue="-601952" maxValue="9052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n v="359"/>
    <n v="408"/>
    <n v="434"/>
    <n v="461"/>
    <n v="484"/>
  </r>
  <r>
    <x v="0"/>
    <x v="1"/>
    <n v="51"/>
    <n v="58"/>
    <n v="62"/>
    <n v="66"/>
    <n v="69"/>
  </r>
  <r>
    <x v="0"/>
    <x v="2"/>
    <n v="26"/>
    <n v="29"/>
    <n v="31"/>
    <n v="33"/>
    <n v="35"/>
  </r>
  <r>
    <x v="0"/>
    <x v="3"/>
    <n v="18"/>
    <n v="21"/>
    <n v="22"/>
    <n v="23"/>
    <n v="24"/>
  </r>
  <r>
    <x v="0"/>
    <x v="4"/>
    <n v="18"/>
    <n v="21"/>
    <n v="22"/>
    <n v="23"/>
    <n v="24"/>
  </r>
  <r>
    <x v="0"/>
    <x v="5"/>
    <n v="671840"/>
    <n v="763776"/>
    <n v="813280"/>
    <n v="862784"/>
    <n v="905216"/>
  </r>
  <r>
    <x v="1"/>
    <x v="6"/>
    <n v="162"/>
    <n v="162"/>
    <n v="162"/>
    <n v="162"/>
    <n v="162"/>
  </r>
  <r>
    <x v="1"/>
    <x v="7"/>
    <n v="10"/>
    <n v="8"/>
    <n v="8"/>
    <n v="8"/>
    <n v="3"/>
  </r>
  <r>
    <x v="1"/>
    <x v="8"/>
    <n v="25"/>
    <n v="25"/>
    <n v="10"/>
    <n v="10"/>
    <n v="10"/>
  </r>
  <r>
    <x v="1"/>
    <x v="9"/>
    <n v="20"/>
    <n v="20"/>
    <n v="20"/>
    <n v="20"/>
    <n v="15"/>
  </r>
  <r>
    <x v="1"/>
    <x v="10"/>
    <n v="10"/>
    <n v="10"/>
    <n v="10"/>
    <n v="10"/>
    <n v="5"/>
  </r>
  <r>
    <x v="1"/>
    <x v="11"/>
    <n v="303264"/>
    <n v="303264"/>
    <n v="303264"/>
    <n v="303264"/>
    <n v="303264"/>
  </r>
  <r>
    <x v="2"/>
    <x v="12"/>
    <n v="-197"/>
    <n v="-246"/>
    <n v="-272"/>
    <n v="-299"/>
    <n v="-322"/>
  </r>
  <r>
    <x v="2"/>
    <x v="13"/>
    <n v="-41"/>
    <n v="-50"/>
    <n v="-54"/>
    <n v="-58"/>
    <n v="-66"/>
  </r>
  <r>
    <x v="2"/>
    <x v="14"/>
    <n v="-1"/>
    <n v="-4"/>
    <n v="-21"/>
    <n v="-23"/>
    <n v="-25"/>
  </r>
  <r>
    <x v="2"/>
    <x v="15"/>
    <n v="2"/>
    <n v="-1"/>
    <n v="-2"/>
    <n v="-3"/>
    <n v="-9"/>
  </r>
  <r>
    <x v="2"/>
    <x v="16"/>
    <n v="-8"/>
    <n v="-11"/>
    <n v="-12"/>
    <n v="-13"/>
    <n v="-19"/>
  </r>
  <r>
    <x v="2"/>
    <x v="17"/>
    <n v="-368576"/>
    <n v="-460512"/>
    <n v="-510016"/>
    <n v="-559520"/>
    <n v="-6019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dataOnRows="1" applyNumberFormats="0" applyBorderFormats="0" applyFontFormats="0" applyPatternFormats="0" applyAlignmentFormats="0" applyWidthHeightFormats="1" dataCaption="Valores" updatedVersion="6" minRefreshableVersion="3" useAutoFormatting="1" colGrandTotals="0" itemPrintTitles="1" createdVersion="6" indent="0" outline="1" outlineData="1" multipleFieldFilters="0" chartFormat="1">
  <location ref="A4:B10" firstHeaderRow="1" firstDataRow="2" firstDataCol="1" rowPageCount="1" colPageCount="1"/>
  <pivotFields count="7">
    <pivotField axis="axisPage" subtotalTop="0" multipleItemSelectionAllowed="1" showAll="0">
      <items count="4">
        <item x="2"/>
        <item h="1" x="0"/>
        <item h="1" x="1"/>
        <item t="default"/>
      </items>
    </pivotField>
    <pivotField axis="axisCol" subtotalTop="0" multipleItemSelectionAllowed="1" showAll="0">
      <items count="19">
        <item x="16"/>
        <item h="1" x="12"/>
        <item h="1" x="17"/>
        <item h="1" x="13"/>
        <item h="1" x="14"/>
        <item h="1" x="15"/>
        <item h="1" x="4"/>
        <item h="1" x="0"/>
        <item h="1" x="1"/>
        <item h="1" x="6"/>
        <item h="1" x="11"/>
        <item h="1" x="10"/>
        <item h="1" x="7"/>
        <item h="1" x="8"/>
        <item h="1" x="9"/>
        <item h="1" x="2"/>
        <item h="1" x="3"/>
        <item h="1" x="5"/>
        <item t="default"/>
      </items>
    </pivotField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1"/>
  </colFields>
  <colItems count="1">
    <i>
      <x/>
    </i>
  </colItems>
  <pageFields count="1">
    <pageField fld="0" hier="-1"/>
  </pageFields>
  <dataFields count="5">
    <dataField name="Suma de 2018" fld="2" baseField="0" baseItem="514"/>
    <dataField name="Suma de 2019" fld="3" baseField="0" baseItem="0"/>
    <dataField name="Suma de 2020" fld="4" baseField="0" baseItem="0"/>
    <dataField name="Suma de 2021" fld="5" baseField="0" baseItem="0"/>
    <dataField name="Suma de 2022" fld="6" baseField="0" baseItem="0"/>
  </dataFields>
  <formats count="7"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" type="button" dataOnly="0" labelOnly="1" outline="0" axis="axisCol" fieldPosition="0"/>
    </format>
    <format dxfId="30">
      <pivotArea field="-2" type="button" dataOnly="0" labelOnly="1" outline="0" axis="axisRow" fieldPosition="0"/>
    </format>
    <format dxfId="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1">
          <reference field="1" count="0"/>
        </references>
      </pivotArea>
    </format>
  </formats>
  <chartFormats count="5">
    <chartFormat chart="0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7"/>
  <sheetViews>
    <sheetView workbookViewId="0">
      <selection activeCell="F18" sqref="F18"/>
    </sheetView>
  </sheetViews>
  <sheetFormatPr baseColWidth="10" defaultRowHeight="15" x14ac:dyDescent="0.25"/>
  <cols>
    <col min="1" max="1" width="11.42578125" style="4"/>
    <col min="2" max="2" width="30.28515625" style="4" customWidth="1"/>
    <col min="3" max="16384" width="11.42578125" style="4"/>
  </cols>
  <sheetData>
    <row r="1" spans="2:11" ht="15.75" thickBot="1" x14ac:dyDescent="0.3"/>
    <row r="2" spans="2:11" ht="15.75" thickBot="1" x14ac:dyDescent="0.3">
      <c r="B2" s="129" t="s">
        <v>152</v>
      </c>
      <c r="C2" s="130"/>
      <c r="D2" s="130"/>
      <c r="E2" s="130"/>
      <c r="F2" s="130"/>
      <c r="G2" s="130"/>
      <c r="H2" s="130"/>
      <c r="I2" s="131"/>
    </row>
    <row r="3" spans="2:11" ht="15.75" thickBot="1" x14ac:dyDescent="0.3">
      <c r="B3" s="56"/>
      <c r="C3" s="57">
        <v>2010</v>
      </c>
      <c r="D3" s="57">
        <v>2011</v>
      </c>
      <c r="E3" s="57">
        <v>2012</v>
      </c>
      <c r="F3" s="57">
        <v>2013</v>
      </c>
      <c r="G3" s="57">
        <v>2014</v>
      </c>
      <c r="H3" s="57">
        <v>2015</v>
      </c>
      <c r="I3" s="69" t="s">
        <v>74</v>
      </c>
    </row>
    <row r="4" spans="2:11" x14ac:dyDescent="0.25">
      <c r="B4" s="17" t="s">
        <v>30</v>
      </c>
      <c r="C4" s="18">
        <v>23797</v>
      </c>
      <c r="D4" s="18">
        <v>24573</v>
      </c>
      <c r="E4" s="18">
        <v>26164</v>
      </c>
      <c r="F4" s="18">
        <v>27170</v>
      </c>
      <c r="G4" s="18">
        <v>28587</v>
      </c>
      <c r="H4" s="18">
        <v>33673</v>
      </c>
      <c r="I4" s="9" t="s">
        <v>75</v>
      </c>
    </row>
    <row r="5" spans="2:11" x14ac:dyDescent="0.25">
      <c r="B5" s="17" t="s">
        <v>31</v>
      </c>
      <c r="C5" s="18">
        <v>571</v>
      </c>
      <c r="D5" s="18">
        <v>613</v>
      </c>
      <c r="E5" s="18">
        <v>664</v>
      </c>
      <c r="F5" s="18">
        <v>577</v>
      </c>
      <c r="G5" s="18">
        <v>669</v>
      </c>
      <c r="H5" s="18">
        <v>675</v>
      </c>
      <c r="I5" s="9" t="s">
        <v>75</v>
      </c>
    </row>
    <row r="6" spans="2:11" x14ac:dyDescent="0.25">
      <c r="B6" s="17" t="s">
        <v>32</v>
      </c>
      <c r="C6" s="18">
        <v>5120</v>
      </c>
      <c r="D6" s="18">
        <v>5165</v>
      </c>
      <c r="E6" s="18">
        <v>4830</v>
      </c>
      <c r="F6" s="18">
        <v>4675</v>
      </c>
      <c r="G6" s="18">
        <v>4190</v>
      </c>
      <c r="H6" s="18">
        <v>4115</v>
      </c>
      <c r="I6" s="9" t="s">
        <v>75</v>
      </c>
    </row>
    <row r="7" spans="2:11" x14ac:dyDescent="0.25">
      <c r="B7" s="52" t="s">
        <v>72</v>
      </c>
      <c r="C7" s="18"/>
      <c r="D7" s="73">
        <f>+D4/C4-1</f>
        <v>3.260915241416984E-2</v>
      </c>
      <c r="E7" s="73">
        <f t="shared" ref="E7:G7" si="0">+E4/D4-1</f>
        <v>6.4745859276441609E-2</v>
      </c>
      <c r="F7" s="73">
        <f t="shared" si="0"/>
        <v>3.8449778321357542E-2</v>
      </c>
      <c r="G7" s="73">
        <f t="shared" si="0"/>
        <v>5.2153110047846951E-2</v>
      </c>
      <c r="H7" s="73">
        <f>+H4/G4-1</f>
        <v>0.17791303739461983</v>
      </c>
      <c r="I7" s="9" t="s">
        <v>75</v>
      </c>
    </row>
    <row r="8" spans="2:11" x14ac:dyDescent="0.25">
      <c r="B8" s="17" t="s">
        <v>73</v>
      </c>
      <c r="C8" s="18"/>
      <c r="D8" s="18"/>
      <c r="E8" s="18"/>
      <c r="F8" s="18"/>
      <c r="G8" s="18"/>
      <c r="H8" s="18"/>
      <c r="I8" s="9"/>
    </row>
    <row r="9" spans="2:11" x14ac:dyDescent="0.25">
      <c r="B9" s="74" t="s">
        <v>33</v>
      </c>
      <c r="C9" s="18" t="s">
        <v>78</v>
      </c>
      <c r="D9" s="18" t="s">
        <v>78</v>
      </c>
      <c r="E9" s="18" t="s">
        <v>78</v>
      </c>
      <c r="F9" s="18" t="s">
        <v>78</v>
      </c>
      <c r="G9" s="18">
        <v>20386</v>
      </c>
      <c r="H9" s="18">
        <v>24181</v>
      </c>
      <c r="I9" s="75">
        <f>+H9/$H$4</f>
        <v>0.71811243429453864</v>
      </c>
      <c r="J9" s="76"/>
      <c r="K9" s="77"/>
    </row>
    <row r="10" spans="2:11" x14ac:dyDescent="0.25">
      <c r="B10" s="74" t="s">
        <v>34</v>
      </c>
      <c r="C10" s="18" t="s">
        <v>78</v>
      </c>
      <c r="D10" s="18" t="s">
        <v>78</v>
      </c>
      <c r="E10" s="18" t="s">
        <v>78</v>
      </c>
      <c r="F10" s="18" t="s">
        <v>78</v>
      </c>
      <c r="G10" s="18">
        <v>1226</v>
      </c>
      <c r="H10" s="18">
        <v>1553</v>
      </c>
      <c r="I10" s="75">
        <f t="shared" ref="I10:I13" si="1">+H10/$H$4</f>
        <v>4.6120036824755739E-2</v>
      </c>
    </row>
    <row r="11" spans="2:11" x14ac:dyDescent="0.25">
      <c r="B11" s="74" t="s">
        <v>35</v>
      </c>
      <c r="C11" s="18" t="s">
        <v>78</v>
      </c>
      <c r="D11" s="18" t="s">
        <v>78</v>
      </c>
      <c r="E11" s="18" t="s">
        <v>78</v>
      </c>
      <c r="F11" s="18" t="s">
        <v>78</v>
      </c>
      <c r="G11" s="18">
        <v>973</v>
      </c>
      <c r="H11" s="18">
        <v>1213</v>
      </c>
      <c r="I11" s="75">
        <f t="shared" si="1"/>
        <v>3.6022926380185907E-2</v>
      </c>
    </row>
    <row r="12" spans="2:11" x14ac:dyDescent="0.25">
      <c r="B12" s="74" t="s">
        <v>36</v>
      </c>
      <c r="C12" s="18" t="s">
        <v>78</v>
      </c>
      <c r="D12" s="18" t="s">
        <v>78</v>
      </c>
      <c r="E12" s="18" t="s">
        <v>78</v>
      </c>
      <c r="F12" s="18" t="s">
        <v>78</v>
      </c>
      <c r="G12" s="18">
        <v>786</v>
      </c>
      <c r="H12" s="18">
        <v>906</v>
      </c>
      <c r="I12" s="75">
        <f t="shared" si="1"/>
        <v>2.6905829596412557E-2</v>
      </c>
    </row>
    <row r="13" spans="2:11" ht="15.75" thickBot="1" x14ac:dyDescent="0.3">
      <c r="B13" s="78" t="s">
        <v>37</v>
      </c>
      <c r="C13" s="47" t="s">
        <v>78</v>
      </c>
      <c r="D13" s="47" t="s">
        <v>78</v>
      </c>
      <c r="E13" s="47" t="s">
        <v>78</v>
      </c>
      <c r="F13" s="47" t="s">
        <v>78</v>
      </c>
      <c r="G13" s="47">
        <v>927</v>
      </c>
      <c r="H13" s="47">
        <v>904</v>
      </c>
      <c r="I13" s="79">
        <f t="shared" si="1"/>
        <v>2.6846434829091558E-2</v>
      </c>
    </row>
    <row r="14" spans="2:11" ht="15.75" thickBot="1" x14ac:dyDescent="0.3">
      <c r="I14" s="77"/>
    </row>
    <row r="15" spans="2:11" ht="35.25" customHeight="1" thickBot="1" x14ac:dyDescent="0.3">
      <c r="B15" s="132" t="s">
        <v>77</v>
      </c>
      <c r="C15" s="133"/>
      <c r="D15" s="134"/>
      <c r="K15" s="80"/>
    </row>
    <row r="16" spans="2:11" x14ac:dyDescent="0.25">
      <c r="B16" s="62" t="s">
        <v>38</v>
      </c>
      <c r="C16" s="63">
        <v>7158</v>
      </c>
      <c r="D16" s="81">
        <f t="shared" ref="D16:D31" si="2">+C16/$C$31</f>
        <v>0.29601753442785655</v>
      </c>
      <c r="K16" s="80"/>
    </row>
    <row r="17" spans="2:4" x14ac:dyDescent="0.25">
      <c r="B17" s="17" t="s">
        <v>39</v>
      </c>
      <c r="C17" s="18">
        <v>3976</v>
      </c>
      <c r="D17" s="75">
        <f t="shared" si="2"/>
        <v>0.16442661593813324</v>
      </c>
    </row>
    <row r="18" spans="2:4" x14ac:dyDescent="0.25">
      <c r="B18" s="17" t="s">
        <v>40</v>
      </c>
      <c r="C18" s="18">
        <v>3298</v>
      </c>
      <c r="D18" s="75">
        <f t="shared" si="2"/>
        <v>0.1363880732806749</v>
      </c>
    </row>
    <row r="19" spans="2:4" x14ac:dyDescent="0.25">
      <c r="B19" s="17" t="s">
        <v>41</v>
      </c>
      <c r="C19" s="18">
        <v>3128</v>
      </c>
      <c r="D19" s="75">
        <f t="shared" si="2"/>
        <v>0.12935776022497003</v>
      </c>
    </row>
    <row r="20" spans="2:4" x14ac:dyDescent="0.25">
      <c r="B20" s="17" t="s">
        <v>42</v>
      </c>
      <c r="C20" s="18">
        <v>2983</v>
      </c>
      <c r="D20" s="75">
        <f t="shared" si="2"/>
        <v>0.12336131673628055</v>
      </c>
    </row>
    <row r="21" spans="2:4" x14ac:dyDescent="0.25">
      <c r="B21" s="17" t="s">
        <v>43</v>
      </c>
      <c r="C21" s="18">
        <v>1721</v>
      </c>
      <c r="D21" s="75">
        <f t="shared" si="2"/>
        <v>7.1171580993341879E-2</v>
      </c>
    </row>
    <row r="22" spans="2:4" x14ac:dyDescent="0.25">
      <c r="B22" s="17" t="s">
        <v>44</v>
      </c>
      <c r="C22" s="18">
        <v>633</v>
      </c>
      <c r="D22" s="75">
        <f t="shared" si="2"/>
        <v>2.6177577436830569E-2</v>
      </c>
    </row>
    <row r="23" spans="2:4" x14ac:dyDescent="0.25">
      <c r="B23" s="17" t="s">
        <v>45</v>
      </c>
      <c r="C23" s="18">
        <v>431</v>
      </c>
      <c r="D23" s="75">
        <f t="shared" si="2"/>
        <v>1.7823911335345933E-2</v>
      </c>
    </row>
    <row r="24" spans="2:4" x14ac:dyDescent="0.25">
      <c r="B24" s="17" t="s">
        <v>46</v>
      </c>
      <c r="C24" s="18">
        <v>368</v>
      </c>
      <c r="D24" s="75">
        <f t="shared" si="2"/>
        <v>1.521856002646706E-2</v>
      </c>
    </row>
    <row r="25" spans="2:4" x14ac:dyDescent="0.25">
      <c r="B25" s="17" t="s">
        <v>47</v>
      </c>
      <c r="C25" s="18">
        <v>162</v>
      </c>
      <c r="D25" s="75">
        <f t="shared" si="2"/>
        <v>6.6994747942599559E-3</v>
      </c>
    </row>
    <row r="26" spans="2:4" x14ac:dyDescent="0.25">
      <c r="B26" s="17" t="s">
        <v>48</v>
      </c>
      <c r="C26" s="18">
        <v>127</v>
      </c>
      <c r="D26" s="75">
        <f t="shared" si="2"/>
        <v>5.2520574004383605E-3</v>
      </c>
    </row>
    <row r="27" spans="2:4" x14ac:dyDescent="0.25">
      <c r="B27" s="17" t="s">
        <v>49</v>
      </c>
      <c r="C27" s="18">
        <v>97</v>
      </c>
      <c r="D27" s="75">
        <f t="shared" si="2"/>
        <v>4.0114139200198504E-3</v>
      </c>
    </row>
    <row r="28" spans="2:4" x14ac:dyDescent="0.25">
      <c r="B28" s="17" t="s">
        <v>50</v>
      </c>
      <c r="C28" s="18">
        <v>64</v>
      </c>
      <c r="D28" s="75">
        <f t="shared" si="2"/>
        <v>2.6467060915594887E-3</v>
      </c>
    </row>
    <row r="29" spans="2:4" x14ac:dyDescent="0.25">
      <c r="B29" s="17" t="s">
        <v>51</v>
      </c>
      <c r="C29" s="18">
        <v>28</v>
      </c>
      <c r="D29" s="75">
        <f t="shared" si="2"/>
        <v>1.1579339150572764E-3</v>
      </c>
    </row>
    <row r="30" spans="2:4" ht="15.75" thickBot="1" x14ac:dyDescent="0.3">
      <c r="B30" s="17" t="s">
        <v>52</v>
      </c>
      <c r="C30" s="18">
        <v>7</v>
      </c>
      <c r="D30" s="75">
        <f t="shared" si="2"/>
        <v>2.8948347876431909E-4</v>
      </c>
    </row>
    <row r="31" spans="2:4" ht="15.75" thickBot="1" x14ac:dyDescent="0.3">
      <c r="B31" s="56" t="s">
        <v>76</v>
      </c>
      <c r="C31" s="57">
        <f>SUM(C16:C30)</f>
        <v>24181</v>
      </c>
      <c r="D31" s="82">
        <f t="shared" si="2"/>
        <v>1</v>
      </c>
    </row>
    <row r="33" spans="2:8" hidden="1" x14ac:dyDescent="0.25">
      <c r="B33" s="4" t="s">
        <v>53</v>
      </c>
      <c r="C33" s="4">
        <v>23073</v>
      </c>
      <c r="D33" s="77">
        <f>+C33/C31</f>
        <v>0.95417890078987633</v>
      </c>
    </row>
    <row r="34" spans="2:8" ht="15.75" thickBot="1" x14ac:dyDescent="0.3"/>
    <row r="35" spans="2:8" ht="15.75" thickBot="1" x14ac:dyDescent="0.3">
      <c r="B35" s="129" t="s">
        <v>81</v>
      </c>
      <c r="C35" s="130"/>
      <c r="D35" s="130"/>
      <c r="E35" s="130"/>
      <c r="F35" s="130"/>
      <c r="G35" s="130"/>
      <c r="H35" s="131"/>
    </row>
    <row r="36" spans="2:8" ht="15.75" thickBot="1" x14ac:dyDescent="0.3">
      <c r="B36" s="56"/>
      <c r="C36" s="57" t="s">
        <v>30</v>
      </c>
      <c r="D36" s="57" t="s">
        <v>54</v>
      </c>
      <c r="E36" s="57" t="s">
        <v>32</v>
      </c>
      <c r="F36" s="57" t="s">
        <v>30</v>
      </c>
      <c r="G36" s="57" t="s">
        <v>54</v>
      </c>
      <c r="H36" s="69" t="s">
        <v>32</v>
      </c>
    </row>
    <row r="37" spans="2:8" x14ac:dyDescent="0.25">
      <c r="B37" s="17" t="s">
        <v>55</v>
      </c>
      <c r="C37" s="18">
        <v>3686</v>
      </c>
      <c r="D37" s="18">
        <v>17</v>
      </c>
      <c r="E37" s="18">
        <v>264</v>
      </c>
      <c r="F37" s="83">
        <f t="shared" ref="F37:F44" si="3">+C37/$C$44</f>
        <v>0.1524337289607543</v>
      </c>
      <c r="G37" s="83">
        <f t="shared" ref="G37:G44" si="4">+D37/$D$44</f>
        <v>9.2896174863387984E-2</v>
      </c>
      <c r="H37" s="84">
        <f t="shared" ref="H37:H44" si="5">+E37/$E$44</f>
        <v>0.14087513340448238</v>
      </c>
    </row>
    <row r="38" spans="2:8" x14ac:dyDescent="0.25">
      <c r="B38" s="17" t="s">
        <v>56</v>
      </c>
      <c r="C38" s="18">
        <v>3711</v>
      </c>
      <c r="D38" s="18">
        <v>25</v>
      </c>
      <c r="E38" s="18">
        <v>219</v>
      </c>
      <c r="F38" s="83">
        <f t="shared" si="3"/>
        <v>0.15346759852776973</v>
      </c>
      <c r="G38" s="83">
        <f t="shared" si="4"/>
        <v>0.13661202185792351</v>
      </c>
      <c r="H38" s="84">
        <f t="shared" si="5"/>
        <v>0.11686232657417289</v>
      </c>
    </row>
    <row r="39" spans="2:8" x14ac:dyDescent="0.25">
      <c r="B39" s="17" t="s">
        <v>57</v>
      </c>
      <c r="C39" s="18">
        <v>3694</v>
      </c>
      <c r="D39" s="18">
        <v>15</v>
      </c>
      <c r="E39" s="18">
        <v>225</v>
      </c>
      <c r="F39" s="83">
        <f t="shared" si="3"/>
        <v>0.15276456722219925</v>
      </c>
      <c r="G39" s="83">
        <f t="shared" si="4"/>
        <v>8.1967213114754092E-2</v>
      </c>
      <c r="H39" s="84">
        <f t="shared" si="5"/>
        <v>0.1200640341515475</v>
      </c>
    </row>
    <row r="40" spans="2:8" x14ac:dyDescent="0.25">
      <c r="B40" s="17" t="s">
        <v>58</v>
      </c>
      <c r="C40" s="18">
        <v>3496</v>
      </c>
      <c r="D40" s="18">
        <v>25</v>
      </c>
      <c r="E40" s="18">
        <v>259</v>
      </c>
      <c r="F40" s="83">
        <f t="shared" si="3"/>
        <v>0.14457632025143707</v>
      </c>
      <c r="G40" s="83">
        <f t="shared" si="4"/>
        <v>0.13661202185792351</v>
      </c>
      <c r="H40" s="84">
        <f t="shared" si="5"/>
        <v>0.13820704375667023</v>
      </c>
    </row>
    <row r="41" spans="2:8" x14ac:dyDescent="0.25">
      <c r="B41" s="17" t="s">
        <v>59</v>
      </c>
      <c r="C41" s="18">
        <v>4032</v>
      </c>
      <c r="D41" s="18">
        <v>28</v>
      </c>
      <c r="E41" s="18">
        <v>263</v>
      </c>
      <c r="F41" s="83">
        <f t="shared" si="3"/>
        <v>0.1667424837682478</v>
      </c>
      <c r="G41" s="83">
        <f t="shared" si="4"/>
        <v>0.15300546448087432</v>
      </c>
      <c r="H41" s="84">
        <f t="shared" si="5"/>
        <v>0.14034151547491996</v>
      </c>
    </row>
    <row r="42" spans="2:8" x14ac:dyDescent="0.25">
      <c r="B42" s="17" t="s">
        <v>60</v>
      </c>
      <c r="C42" s="18">
        <v>3520</v>
      </c>
      <c r="D42" s="18">
        <v>44</v>
      </c>
      <c r="E42" s="18">
        <v>331</v>
      </c>
      <c r="F42" s="83">
        <f t="shared" si="3"/>
        <v>0.14556883503577189</v>
      </c>
      <c r="G42" s="83">
        <f t="shared" si="4"/>
        <v>0.24043715846994534</v>
      </c>
      <c r="H42" s="84">
        <f t="shared" si="5"/>
        <v>0.17662753468516543</v>
      </c>
    </row>
    <row r="43" spans="2:8" x14ac:dyDescent="0.25">
      <c r="B43" s="17" t="s">
        <v>61</v>
      </c>
      <c r="C43" s="18">
        <v>2042</v>
      </c>
      <c r="D43" s="18">
        <v>29</v>
      </c>
      <c r="E43" s="18">
        <v>313</v>
      </c>
      <c r="F43" s="83">
        <f t="shared" si="3"/>
        <v>8.4446466233819947E-2</v>
      </c>
      <c r="G43" s="83">
        <f t="shared" si="4"/>
        <v>0.15846994535519127</v>
      </c>
      <c r="H43" s="84">
        <f t="shared" si="5"/>
        <v>0.16702241195304163</v>
      </c>
    </row>
    <row r="44" spans="2:8" ht="15.75" thickBot="1" x14ac:dyDescent="0.3">
      <c r="B44" s="46" t="s">
        <v>55</v>
      </c>
      <c r="C44" s="47">
        <f>SUM(C37:C43)</f>
        <v>24181</v>
      </c>
      <c r="D44" s="47">
        <f t="shared" ref="D44:E44" si="6">SUM(D37:D43)</f>
        <v>183</v>
      </c>
      <c r="E44" s="47">
        <f t="shared" si="6"/>
        <v>1874</v>
      </c>
      <c r="F44" s="85">
        <f t="shared" si="3"/>
        <v>1</v>
      </c>
      <c r="G44" s="85">
        <f t="shared" si="4"/>
        <v>1</v>
      </c>
      <c r="H44" s="86">
        <f t="shared" si="5"/>
        <v>1</v>
      </c>
    </row>
    <row r="45" spans="2:8" ht="15.75" thickBot="1" x14ac:dyDescent="0.3"/>
    <row r="46" spans="2:8" ht="15.75" thickBot="1" x14ac:dyDescent="0.3">
      <c r="B46" s="129" t="s">
        <v>80</v>
      </c>
      <c r="C46" s="130"/>
      <c r="D46" s="130"/>
      <c r="E46" s="130"/>
      <c r="F46" s="130"/>
      <c r="G46" s="130"/>
      <c r="H46" s="131"/>
    </row>
    <row r="47" spans="2:8" x14ac:dyDescent="0.25">
      <c r="B47" s="87" t="s">
        <v>62</v>
      </c>
      <c r="C47" s="63">
        <v>711</v>
      </c>
      <c r="D47" s="63">
        <v>35</v>
      </c>
      <c r="E47" s="63">
        <v>129</v>
      </c>
      <c r="F47" s="88">
        <f>+C47/$C53</f>
        <v>2.9403250485918696E-2</v>
      </c>
      <c r="G47" s="88">
        <f t="shared" ref="G47:G53" si="7">+D47/$D$53</f>
        <v>0.19125683060109289</v>
      </c>
      <c r="H47" s="89">
        <f t="shared" ref="H47:H53" si="8">+E47/$E$53</f>
        <v>6.8836712913553894E-2</v>
      </c>
    </row>
    <row r="48" spans="2:8" x14ac:dyDescent="0.25">
      <c r="B48" s="90" t="s">
        <v>63</v>
      </c>
      <c r="C48" s="18">
        <v>4587</v>
      </c>
      <c r="D48" s="18">
        <v>24</v>
      </c>
      <c r="E48" s="18">
        <v>327</v>
      </c>
      <c r="F48" s="61">
        <f t="shared" ref="F48:F53" si="9">+C48/$C$53</f>
        <v>0.18969438815599024</v>
      </c>
      <c r="G48" s="61">
        <f t="shared" si="7"/>
        <v>0.13114754098360656</v>
      </c>
      <c r="H48" s="66">
        <f t="shared" si="8"/>
        <v>0.17449306296691569</v>
      </c>
    </row>
    <row r="49" spans="2:8" x14ac:dyDescent="0.25">
      <c r="B49" s="90" t="s">
        <v>64</v>
      </c>
      <c r="C49" s="18">
        <v>6584</v>
      </c>
      <c r="D49" s="18">
        <v>22</v>
      </c>
      <c r="E49" s="18">
        <v>329</v>
      </c>
      <c r="F49" s="61">
        <f t="shared" si="9"/>
        <v>0.27227988916918244</v>
      </c>
      <c r="G49" s="61">
        <f t="shared" si="7"/>
        <v>0.12021857923497267</v>
      </c>
      <c r="H49" s="66">
        <f t="shared" si="8"/>
        <v>0.17556029882604055</v>
      </c>
    </row>
    <row r="50" spans="2:8" x14ac:dyDescent="0.25">
      <c r="B50" s="90" t="s">
        <v>65</v>
      </c>
      <c r="C50" s="18">
        <v>6347</v>
      </c>
      <c r="D50" s="18">
        <v>21</v>
      </c>
      <c r="E50" s="18">
        <v>386</v>
      </c>
      <c r="F50" s="61">
        <f t="shared" si="9"/>
        <v>0.26247880567387616</v>
      </c>
      <c r="G50" s="61">
        <f t="shared" si="7"/>
        <v>0.11475409836065574</v>
      </c>
      <c r="H50" s="66">
        <f t="shared" si="8"/>
        <v>0.20597652081109924</v>
      </c>
    </row>
    <row r="51" spans="2:8" x14ac:dyDescent="0.25">
      <c r="B51" s="90" t="s">
        <v>66</v>
      </c>
      <c r="C51" s="18">
        <v>4926</v>
      </c>
      <c r="D51" s="18">
        <v>48</v>
      </c>
      <c r="E51" s="18">
        <v>548</v>
      </c>
      <c r="F51" s="61">
        <f t="shared" si="9"/>
        <v>0.20371365948471939</v>
      </c>
      <c r="G51" s="61">
        <f t="shared" si="7"/>
        <v>0.26229508196721313</v>
      </c>
      <c r="H51" s="66">
        <f t="shared" si="8"/>
        <v>0.29242262540021347</v>
      </c>
    </row>
    <row r="52" spans="2:8" x14ac:dyDescent="0.25">
      <c r="B52" s="90" t="s">
        <v>67</v>
      </c>
      <c r="C52" s="18">
        <v>1026</v>
      </c>
      <c r="D52" s="18">
        <v>33</v>
      </c>
      <c r="E52" s="18">
        <v>155</v>
      </c>
      <c r="F52" s="61">
        <f t="shared" si="9"/>
        <v>4.2430007030313056E-2</v>
      </c>
      <c r="G52" s="61">
        <f t="shared" si="7"/>
        <v>0.18032786885245902</v>
      </c>
      <c r="H52" s="66">
        <f t="shared" si="8"/>
        <v>8.2710779082177166E-2</v>
      </c>
    </row>
    <row r="53" spans="2:8" ht="15.75" thickBot="1" x14ac:dyDescent="0.3">
      <c r="B53" s="91"/>
      <c r="C53" s="47">
        <f>SUM(C47:C52)</f>
        <v>24181</v>
      </c>
      <c r="D53" s="47">
        <f t="shared" ref="D53:E53" si="10">SUM(D47:D52)</f>
        <v>183</v>
      </c>
      <c r="E53" s="47">
        <f t="shared" si="10"/>
        <v>1874</v>
      </c>
      <c r="F53" s="92">
        <f t="shared" si="9"/>
        <v>1</v>
      </c>
      <c r="G53" s="92">
        <f t="shared" si="7"/>
        <v>1</v>
      </c>
      <c r="H53" s="67">
        <f t="shared" si="8"/>
        <v>1</v>
      </c>
    </row>
    <row r="54" spans="2:8" ht="15.75" thickBot="1" x14ac:dyDescent="0.3"/>
    <row r="55" spans="2:8" ht="15.75" thickBot="1" x14ac:dyDescent="0.3">
      <c r="B55" s="129" t="s">
        <v>79</v>
      </c>
      <c r="C55" s="130"/>
      <c r="D55" s="130"/>
      <c r="E55" s="130"/>
      <c r="F55" s="130"/>
      <c r="G55" s="130"/>
      <c r="H55" s="131"/>
    </row>
    <row r="56" spans="2:8" x14ac:dyDescent="0.25">
      <c r="B56" s="62"/>
      <c r="C56" s="63" t="s">
        <v>30</v>
      </c>
      <c r="D56" s="63" t="s">
        <v>54</v>
      </c>
      <c r="E56" s="63" t="s">
        <v>32</v>
      </c>
      <c r="F56" s="63" t="s">
        <v>30</v>
      </c>
      <c r="G56" s="63" t="s">
        <v>54</v>
      </c>
      <c r="H56" s="68" t="s">
        <v>32</v>
      </c>
    </row>
    <row r="57" spans="2:8" x14ac:dyDescent="0.25">
      <c r="B57" s="17" t="s">
        <v>13</v>
      </c>
      <c r="C57" s="18">
        <v>8577</v>
      </c>
      <c r="D57" s="18">
        <v>276</v>
      </c>
      <c r="E57" s="18">
        <v>1829</v>
      </c>
      <c r="F57" s="73">
        <f>+C57/$C$59</f>
        <v>0.16218515997277058</v>
      </c>
      <c r="G57" s="73">
        <f>+D57/$D$59</f>
        <v>0.40888888888888891</v>
      </c>
      <c r="H57" s="75">
        <f>+E57/$E$59</f>
        <v>0.44447144592952614</v>
      </c>
    </row>
    <row r="58" spans="2:8" x14ac:dyDescent="0.25">
      <c r="B58" s="17" t="s">
        <v>71</v>
      </c>
      <c r="C58" s="18">
        <v>19417</v>
      </c>
      <c r="D58" s="18">
        <v>74</v>
      </c>
      <c r="E58" s="18">
        <v>669</v>
      </c>
      <c r="F58" s="73">
        <f>+C58/$C$59</f>
        <v>0.36716209061341804</v>
      </c>
      <c r="G58" s="73">
        <f>+D58/$D$59</f>
        <v>0.10962962962962963</v>
      </c>
      <c r="H58" s="75">
        <f>+E58/$E$59</f>
        <v>0.16257594167679223</v>
      </c>
    </row>
    <row r="59" spans="2:8" ht="15.75" thickBot="1" x14ac:dyDescent="0.3">
      <c r="B59" s="46"/>
      <c r="C59" s="47">
        <v>52884</v>
      </c>
      <c r="D59" s="47">
        <v>675</v>
      </c>
      <c r="E59" s="47">
        <v>4115</v>
      </c>
      <c r="F59" s="93">
        <f>+C59/$C$59</f>
        <v>1</v>
      </c>
      <c r="G59" s="93">
        <f>+D59/$D$59</f>
        <v>1</v>
      </c>
      <c r="H59" s="79">
        <f>+E59/$E$59</f>
        <v>1</v>
      </c>
    </row>
    <row r="62" spans="2:8" ht="15.75" thickBot="1" x14ac:dyDescent="0.3"/>
    <row r="63" spans="2:8" ht="15.75" thickBot="1" x14ac:dyDescent="0.3">
      <c r="B63" s="129" t="s">
        <v>82</v>
      </c>
      <c r="C63" s="130"/>
      <c r="D63" s="131"/>
    </row>
    <row r="64" spans="2:8" x14ac:dyDescent="0.25">
      <c r="B64" s="62" t="s">
        <v>68</v>
      </c>
      <c r="C64" s="63">
        <v>82</v>
      </c>
      <c r="D64" s="89">
        <f>+C64/$C$67</f>
        <v>0.44808743169398907</v>
      </c>
    </row>
    <row r="65" spans="2:4" x14ac:dyDescent="0.25">
      <c r="B65" s="17" t="s">
        <v>69</v>
      </c>
      <c r="C65" s="18">
        <v>27</v>
      </c>
      <c r="D65" s="66">
        <f>+C65/$C$67</f>
        <v>0.14754098360655737</v>
      </c>
    </row>
    <row r="66" spans="2:4" x14ac:dyDescent="0.25">
      <c r="B66" s="17" t="s">
        <v>70</v>
      </c>
      <c r="C66" s="18">
        <v>74</v>
      </c>
      <c r="D66" s="66">
        <f>+C66/$C$67</f>
        <v>0.40437158469945356</v>
      </c>
    </row>
    <row r="67" spans="2:4" ht="15.75" thickBot="1" x14ac:dyDescent="0.3">
      <c r="B67" s="46" t="s">
        <v>76</v>
      </c>
      <c r="C67" s="47">
        <f>+SUM(C64:C66)</f>
        <v>183</v>
      </c>
      <c r="D67" s="67">
        <f>+C67/$C$67</f>
        <v>1</v>
      </c>
    </row>
  </sheetData>
  <mergeCells count="6">
    <mergeCell ref="B63:D63"/>
    <mergeCell ref="B2:I2"/>
    <mergeCell ref="B15:D15"/>
    <mergeCell ref="B35:H35"/>
    <mergeCell ref="B46:H46"/>
    <mergeCell ref="B55:H5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13" sqref="J13"/>
    </sheetView>
  </sheetViews>
  <sheetFormatPr baseColWidth="10" defaultRowHeight="15" x14ac:dyDescent="0.25"/>
  <cols>
    <col min="1" max="1" width="6.140625" style="4" customWidth="1"/>
    <col min="2" max="2" width="27.7109375" style="4" customWidth="1"/>
    <col min="3" max="3" width="11.5703125" style="4" customWidth="1"/>
    <col min="4" max="4" width="13.7109375" style="3" bestFit="1" customWidth="1"/>
    <col min="5" max="5" width="16.7109375" style="4" customWidth="1"/>
    <col min="6" max="6" width="17.140625" style="4" customWidth="1"/>
    <col min="7" max="16384" width="11.42578125" style="4"/>
  </cols>
  <sheetData>
    <row r="1" spans="2:8" ht="15.75" thickBot="1" x14ac:dyDescent="0.3"/>
    <row r="2" spans="2:8" ht="15.75" thickBot="1" x14ac:dyDescent="0.3">
      <c r="B2" s="129" t="s">
        <v>2</v>
      </c>
      <c r="C2" s="130"/>
      <c r="D2" s="130"/>
      <c r="E2" s="130"/>
      <c r="F2" s="130"/>
      <c r="G2" s="131"/>
    </row>
    <row r="3" spans="2:8" ht="45.75" thickBot="1" x14ac:dyDescent="0.3">
      <c r="B3" s="56"/>
      <c r="C3" s="57"/>
      <c r="D3" s="15" t="s">
        <v>15</v>
      </c>
      <c r="E3" s="15" t="s">
        <v>19</v>
      </c>
      <c r="F3" s="15" t="s">
        <v>18</v>
      </c>
      <c r="G3" s="58" t="s">
        <v>20</v>
      </c>
      <c r="H3" s="3"/>
    </row>
    <row r="4" spans="2:8" x14ac:dyDescent="0.25">
      <c r="B4" s="17" t="s">
        <v>0</v>
      </c>
      <c r="C4" s="18"/>
      <c r="D4" s="8" t="s">
        <v>3</v>
      </c>
      <c r="E4" s="18"/>
      <c r="F4" s="18"/>
      <c r="G4" s="9"/>
    </row>
    <row r="5" spans="2:8" x14ac:dyDescent="0.25">
      <c r="B5" s="19" t="s">
        <v>121</v>
      </c>
      <c r="C5" s="40" t="s">
        <v>186</v>
      </c>
      <c r="D5" s="33">
        <v>1</v>
      </c>
      <c r="E5" s="111">
        <v>2</v>
      </c>
      <c r="F5" s="111">
        <v>1</v>
      </c>
      <c r="G5" s="2">
        <v>2</v>
      </c>
    </row>
    <row r="6" spans="2:8" x14ac:dyDescent="0.25">
      <c r="B6" s="20" t="s">
        <v>9</v>
      </c>
      <c r="C6" s="40"/>
      <c r="D6" s="33"/>
      <c r="E6" s="111"/>
      <c r="F6" s="111"/>
      <c r="G6" s="2"/>
    </row>
    <row r="7" spans="2:8" x14ac:dyDescent="0.25">
      <c r="B7" s="52" t="s">
        <v>122</v>
      </c>
      <c r="C7" s="40" t="s">
        <v>83</v>
      </c>
      <c r="D7" s="33">
        <v>2</v>
      </c>
      <c r="E7" s="111">
        <v>2</v>
      </c>
      <c r="F7" s="111">
        <v>2</v>
      </c>
      <c r="G7" s="2">
        <v>2</v>
      </c>
    </row>
    <row r="8" spans="2:8" x14ac:dyDescent="0.25">
      <c r="B8" s="52" t="s">
        <v>123</v>
      </c>
      <c r="C8" s="40" t="s">
        <v>84</v>
      </c>
      <c r="D8" s="33">
        <v>1</v>
      </c>
      <c r="E8" s="111">
        <v>1</v>
      </c>
      <c r="F8" s="111">
        <v>1</v>
      </c>
      <c r="G8" s="2">
        <v>1</v>
      </c>
    </row>
    <row r="9" spans="2:8" x14ac:dyDescent="0.25">
      <c r="B9" s="52" t="s">
        <v>124</v>
      </c>
      <c r="C9" s="40" t="s">
        <v>85</v>
      </c>
      <c r="D9" s="33">
        <v>1</v>
      </c>
      <c r="E9" s="111">
        <v>1</v>
      </c>
      <c r="F9" s="111">
        <v>1</v>
      </c>
      <c r="G9" s="2">
        <v>1</v>
      </c>
    </row>
    <row r="10" spans="2:8" x14ac:dyDescent="0.25">
      <c r="B10" s="52" t="s">
        <v>125</v>
      </c>
      <c r="C10" s="40" t="s">
        <v>86</v>
      </c>
      <c r="D10" s="33"/>
      <c r="E10" s="111">
        <v>1</v>
      </c>
      <c r="F10" s="111">
        <v>1</v>
      </c>
      <c r="G10" s="2">
        <v>1</v>
      </c>
    </row>
    <row r="11" spans="2:8" ht="15.75" thickBot="1" x14ac:dyDescent="0.3">
      <c r="B11" s="54" t="s">
        <v>126</v>
      </c>
      <c r="C11" s="41" t="s">
        <v>87</v>
      </c>
      <c r="D11" s="112"/>
      <c r="E11" s="113">
        <v>1</v>
      </c>
      <c r="F11" s="113">
        <v>1</v>
      </c>
      <c r="G11" s="114">
        <v>1</v>
      </c>
    </row>
    <row r="15" spans="2:8" ht="15.75" thickBot="1" x14ac:dyDescent="0.3"/>
    <row r="16" spans="2:8" ht="15.75" thickBot="1" x14ac:dyDescent="0.3">
      <c r="B16" s="135" t="s">
        <v>133</v>
      </c>
      <c r="C16" s="136"/>
      <c r="D16" s="137"/>
    </row>
    <row r="17" spans="2:4" ht="30" x14ac:dyDescent="0.25">
      <c r="B17" s="17" t="s">
        <v>120</v>
      </c>
      <c r="C17" s="18" t="s">
        <v>117</v>
      </c>
      <c r="D17" s="50" t="s">
        <v>10</v>
      </c>
    </row>
    <row r="18" spans="2:4" x14ac:dyDescent="0.25">
      <c r="B18" s="51" t="s">
        <v>16</v>
      </c>
      <c r="C18" s="40" t="s">
        <v>90</v>
      </c>
      <c r="D18" s="115">
        <v>1</v>
      </c>
    </row>
    <row r="19" spans="2:4" x14ac:dyDescent="0.25">
      <c r="B19" s="51" t="s">
        <v>17</v>
      </c>
      <c r="C19" s="40" t="s">
        <v>90</v>
      </c>
      <c r="D19" s="115">
        <v>2</v>
      </c>
    </row>
    <row r="20" spans="2:4" ht="30" x14ac:dyDescent="0.25">
      <c r="B20" s="72" t="s">
        <v>148</v>
      </c>
      <c r="C20" s="40" t="s">
        <v>149</v>
      </c>
      <c r="D20" s="116">
        <v>0.75</v>
      </c>
    </row>
    <row r="21" spans="2:4" x14ac:dyDescent="0.25">
      <c r="B21" s="71" t="s">
        <v>147</v>
      </c>
      <c r="C21" s="40" t="s">
        <v>150</v>
      </c>
      <c r="D21" s="115">
        <v>8</v>
      </c>
    </row>
    <row r="22" spans="2:4" x14ac:dyDescent="0.25">
      <c r="B22" s="17" t="s">
        <v>112</v>
      </c>
      <c r="C22" s="40" t="s">
        <v>116</v>
      </c>
      <c r="D22" s="115">
        <f>+D21*6</f>
        <v>48</v>
      </c>
    </row>
    <row r="23" spans="2:4" x14ac:dyDescent="0.25">
      <c r="B23" s="17" t="s">
        <v>11</v>
      </c>
      <c r="C23" s="40" t="s">
        <v>136</v>
      </c>
      <c r="D23" s="118">
        <v>0.89800000000000002</v>
      </c>
    </row>
    <row r="24" spans="2:4" ht="45" x14ac:dyDescent="0.25">
      <c r="B24" s="17" t="s">
        <v>119</v>
      </c>
      <c r="C24" s="40"/>
      <c r="D24" s="50" t="s">
        <v>14</v>
      </c>
    </row>
    <row r="25" spans="2:4" x14ac:dyDescent="0.25">
      <c r="B25" s="52" t="s">
        <v>13</v>
      </c>
      <c r="C25" s="40" t="s">
        <v>89</v>
      </c>
      <c r="D25" s="115">
        <v>12</v>
      </c>
    </row>
    <row r="26" spans="2:4" x14ac:dyDescent="0.25">
      <c r="B26" s="53" t="s">
        <v>118</v>
      </c>
      <c r="C26" s="40"/>
      <c r="D26" s="115"/>
    </row>
    <row r="27" spans="2:4" x14ac:dyDescent="0.25">
      <c r="B27" s="52" t="s">
        <v>6</v>
      </c>
      <c r="C27" s="40" t="s">
        <v>113</v>
      </c>
      <c r="D27" s="115">
        <v>24</v>
      </c>
    </row>
    <row r="28" spans="2:4" x14ac:dyDescent="0.25">
      <c r="B28" s="52" t="s">
        <v>7</v>
      </c>
      <c r="C28" s="40" t="s">
        <v>114</v>
      </c>
      <c r="D28" s="115">
        <v>24</v>
      </c>
    </row>
    <row r="29" spans="2:4" ht="15.75" thickBot="1" x14ac:dyDescent="0.3">
      <c r="B29" s="54" t="s">
        <v>8</v>
      </c>
      <c r="C29" s="41" t="s">
        <v>115</v>
      </c>
      <c r="D29" s="117">
        <v>24</v>
      </c>
    </row>
  </sheetData>
  <mergeCells count="2">
    <mergeCell ref="B2:G2"/>
    <mergeCell ref="B16:D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7"/>
  <sheetViews>
    <sheetView topLeftCell="A34" workbookViewId="0">
      <selection activeCell="B47" sqref="B47"/>
    </sheetView>
  </sheetViews>
  <sheetFormatPr baseColWidth="10" defaultRowHeight="15" x14ac:dyDescent="0.25"/>
  <cols>
    <col min="1" max="1" width="9.42578125" style="4" customWidth="1"/>
    <col min="2" max="2" width="32.28515625" style="3" customWidth="1"/>
    <col min="3" max="3" width="17.28515625" style="3" customWidth="1"/>
    <col min="4" max="4" width="12.28515625" style="4" customWidth="1"/>
    <col min="5" max="16384" width="11.42578125" style="4"/>
  </cols>
  <sheetData>
    <row r="1" spans="2:10" ht="15.75" thickBot="1" x14ac:dyDescent="0.3"/>
    <row r="2" spans="2:10" x14ac:dyDescent="0.25">
      <c r="B2" s="5" t="s">
        <v>21</v>
      </c>
      <c r="C2" s="35" t="s">
        <v>97</v>
      </c>
      <c r="D2" s="1">
        <v>89</v>
      </c>
    </row>
    <row r="3" spans="2:10" ht="30" x14ac:dyDescent="0.25">
      <c r="B3" s="7" t="s">
        <v>101</v>
      </c>
      <c r="C3" s="39" t="s">
        <v>102</v>
      </c>
      <c r="D3" s="2">
        <v>30</v>
      </c>
    </row>
    <row r="4" spans="2:10" x14ac:dyDescent="0.25">
      <c r="B4" s="7" t="s">
        <v>25</v>
      </c>
      <c r="C4" s="39" t="s">
        <v>98</v>
      </c>
      <c r="D4" s="27">
        <v>3</v>
      </c>
    </row>
    <row r="5" spans="2:10" x14ac:dyDescent="0.25">
      <c r="B5" s="7" t="s">
        <v>22</v>
      </c>
      <c r="C5" s="39"/>
      <c r="D5" s="9"/>
    </row>
    <row r="6" spans="2:10" x14ac:dyDescent="0.25">
      <c r="B6" s="10" t="s">
        <v>23</v>
      </c>
      <c r="C6" s="39" t="s">
        <v>135</v>
      </c>
      <c r="D6" s="44">
        <f>+(D7+D8)/60</f>
        <v>1.3333333333333333</v>
      </c>
      <c r="E6" s="25"/>
      <c r="G6" s="22"/>
    </row>
    <row r="7" spans="2:10" x14ac:dyDescent="0.25">
      <c r="B7" s="11" t="s">
        <v>27</v>
      </c>
      <c r="C7" s="39" t="s">
        <v>99</v>
      </c>
      <c r="D7" s="27">
        <v>20</v>
      </c>
    </row>
    <row r="8" spans="2:10" x14ac:dyDescent="0.25">
      <c r="B8" s="11" t="s">
        <v>28</v>
      </c>
      <c r="C8" s="39" t="s">
        <v>100</v>
      </c>
      <c r="D8" s="2">
        <v>60</v>
      </c>
    </row>
    <row r="9" spans="2:10" x14ac:dyDescent="0.25">
      <c r="B9" s="10" t="s">
        <v>24</v>
      </c>
      <c r="C9" s="39" t="s">
        <v>135</v>
      </c>
      <c r="D9" s="44">
        <f>+(D10+D11)/60</f>
        <v>2.3333333333333335</v>
      </c>
    </row>
    <row r="10" spans="2:10" x14ac:dyDescent="0.25">
      <c r="B10" s="11" t="s">
        <v>27</v>
      </c>
      <c r="C10" s="39" t="s">
        <v>99</v>
      </c>
      <c r="D10" s="27">
        <v>20</v>
      </c>
      <c r="J10" s="25"/>
    </row>
    <row r="11" spans="2:10" ht="15.75" thickBot="1" x14ac:dyDescent="0.3">
      <c r="B11" s="12" t="s">
        <v>28</v>
      </c>
      <c r="C11" s="42" t="s">
        <v>100</v>
      </c>
      <c r="D11" s="26">
        <v>120</v>
      </c>
      <c r="J11" s="43"/>
    </row>
    <row r="12" spans="2:10" x14ac:dyDescent="0.25">
      <c r="D12" s="43"/>
    </row>
    <row r="14" spans="2:10" ht="15.75" thickBot="1" x14ac:dyDescent="0.3"/>
    <row r="15" spans="2:10" ht="30.75" thickBot="1" x14ac:dyDescent="0.3">
      <c r="B15" s="14" t="s">
        <v>26</v>
      </c>
      <c r="C15" s="15" t="s">
        <v>96</v>
      </c>
      <c r="D15" s="28">
        <f>+(D2*D3)/30</f>
        <v>89</v>
      </c>
    </row>
    <row r="16" spans="2:10" ht="15.75" thickBot="1" x14ac:dyDescent="0.3">
      <c r="B16" s="8"/>
      <c r="C16" s="8"/>
    </row>
    <row r="17" spans="2:9" ht="15.75" thickBot="1" x14ac:dyDescent="0.3">
      <c r="B17" s="140" t="s">
        <v>134</v>
      </c>
      <c r="C17" s="141"/>
      <c r="D17" s="141"/>
      <c r="E17" s="141"/>
      <c r="F17" s="141"/>
      <c r="G17" s="142"/>
    </row>
    <row r="18" spans="2:9" ht="45" x14ac:dyDescent="0.25">
      <c r="B18" s="5"/>
      <c r="C18" s="6"/>
      <c r="D18" s="6" t="s">
        <v>15</v>
      </c>
      <c r="E18" s="6" t="s">
        <v>19</v>
      </c>
      <c r="F18" s="6" t="s">
        <v>18</v>
      </c>
      <c r="G18" s="16" t="s">
        <v>20</v>
      </c>
    </row>
    <row r="19" spans="2:9" x14ac:dyDescent="0.25">
      <c r="B19" s="7" t="s">
        <v>29</v>
      </c>
      <c r="C19" s="39" t="s">
        <v>187</v>
      </c>
      <c r="D19" s="138">
        <v>5</v>
      </c>
      <c r="E19" s="138"/>
      <c r="F19" s="138">
        <v>2</v>
      </c>
      <c r="G19" s="139"/>
    </row>
    <row r="20" spans="2:9" x14ac:dyDescent="0.25">
      <c r="B20" s="7" t="s">
        <v>25</v>
      </c>
      <c r="C20" s="39" t="s">
        <v>88</v>
      </c>
      <c r="D20" s="33">
        <v>2</v>
      </c>
      <c r="E20" s="33">
        <v>1</v>
      </c>
      <c r="F20" s="33">
        <v>2</v>
      </c>
      <c r="G20" s="34">
        <v>1</v>
      </c>
    </row>
    <row r="21" spans="2:9" x14ac:dyDescent="0.25">
      <c r="B21" s="17" t="s">
        <v>1</v>
      </c>
      <c r="C21" s="40" t="s">
        <v>128</v>
      </c>
      <c r="D21" s="29">
        <f>+$D$15*'Sistema de vigilancia'!D5*D20</f>
        <v>178</v>
      </c>
      <c r="E21" s="29">
        <f>+$D$15*'Sistema de vigilancia'!E5*E20</f>
        <v>178</v>
      </c>
      <c r="F21" s="29">
        <f>+$D$15*'Sistema de vigilancia'!F5*F20</f>
        <v>178</v>
      </c>
      <c r="G21" s="30">
        <f>+$D$15*'Sistema de vigilancia'!G5*G20</f>
        <v>178</v>
      </c>
    </row>
    <row r="22" spans="2:9" x14ac:dyDescent="0.25">
      <c r="B22" s="19" t="s">
        <v>9</v>
      </c>
      <c r="C22" s="40"/>
      <c r="D22" s="29"/>
      <c r="E22" s="29"/>
      <c r="F22" s="29"/>
      <c r="G22" s="30"/>
    </row>
    <row r="23" spans="2:9" x14ac:dyDescent="0.25">
      <c r="B23" s="20" t="s">
        <v>4</v>
      </c>
      <c r="C23" s="40" t="s">
        <v>127</v>
      </c>
      <c r="D23" s="29">
        <f>(D21*'Sistema de vigilancia'!D7*'Sistema de vigilancia'!$D$18)</f>
        <v>356</v>
      </c>
      <c r="E23" s="29">
        <f>+$E$21*'Sistema de vigilancia'!E7*'Sistema de vigilancia'!$D$19</f>
        <v>712</v>
      </c>
      <c r="F23" s="29">
        <f>(F21*'Sistema de vigilancia'!F7*'Sistema de vigilancia'!$D$18)</f>
        <v>356</v>
      </c>
      <c r="G23" s="30">
        <f>+$G$21*'Sistema de vigilancia'!G7*'Sistema de vigilancia'!$D$19</f>
        <v>712</v>
      </c>
      <c r="H23" s="22"/>
    </row>
    <row r="24" spans="2:9" x14ac:dyDescent="0.25">
      <c r="B24" s="20" t="s">
        <v>5</v>
      </c>
      <c r="C24" s="40" t="s">
        <v>129</v>
      </c>
      <c r="D24" s="29">
        <f>(+'Sistema de vigilancia'!D8*D21)</f>
        <v>178</v>
      </c>
      <c r="E24" s="29">
        <f>+'Sistema de vigilancia'!E8*E21</f>
        <v>178</v>
      </c>
      <c r="F24" s="29">
        <f>+'Sistema de vigilancia'!F8*F21</f>
        <v>178</v>
      </c>
      <c r="G24" s="30">
        <f>+'Sistema de vigilancia'!G8*G21</f>
        <v>178</v>
      </c>
    </row>
    <row r="25" spans="2:9" x14ac:dyDescent="0.25">
      <c r="B25" s="20" t="s">
        <v>6</v>
      </c>
      <c r="C25" s="40" t="s">
        <v>130</v>
      </c>
      <c r="D25" s="29">
        <f>'Sistema de vigilancia'!D9*D21</f>
        <v>178</v>
      </c>
      <c r="E25" s="29">
        <f>+'Sistema de vigilancia'!E9*E21</f>
        <v>178</v>
      </c>
      <c r="F25" s="29">
        <f>+'Sistema de vigilancia'!F9*F21</f>
        <v>178</v>
      </c>
      <c r="G25" s="30">
        <f>+'Sistema de vigilancia'!G9*G21</f>
        <v>178</v>
      </c>
    </row>
    <row r="26" spans="2:9" x14ac:dyDescent="0.25">
      <c r="B26" s="20" t="s">
        <v>7</v>
      </c>
      <c r="C26" s="40" t="s">
        <v>131</v>
      </c>
      <c r="D26" s="29">
        <f>'Sistema de vigilancia'!D10*D21</f>
        <v>0</v>
      </c>
      <c r="E26" s="29">
        <f>'Sistema de vigilancia'!E10*E21</f>
        <v>178</v>
      </c>
      <c r="F26" s="29">
        <f>'Sistema de vigilancia'!F10*F21</f>
        <v>178</v>
      </c>
      <c r="G26" s="30">
        <f>'Sistema de vigilancia'!G10*G21</f>
        <v>178</v>
      </c>
    </row>
    <row r="27" spans="2:9" ht="15.75" thickBot="1" x14ac:dyDescent="0.3">
      <c r="B27" s="23" t="s">
        <v>8</v>
      </c>
      <c r="C27" s="41" t="s">
        <v>132</v>
      </c>
      <c r="D27" s="31">
        <f>'Sistema de vigilancia'!D11*D21</f>
        <v>0</v>
      </c>
      <c r="E27" s="31">
        <f>'Sistema de vigilancia'!E11*E21</f>
        <v>178</v>
      </c>
      <c r="F27" s="31">
        <f>'Sistema de vigilancia'!F11*F21</f>
        <v>178</v>
      </c>
      <c r="G27" s="32">
        <f>'Sistema de vigilancia'!G11*G21</f>
        <v>178</v>
      </c>
      <c r="H27" s="22"/>
    </row>
    <row r="29" spans="2:9" ht="15.75" thickBot="1" x14ac:dyDescent="0.3"/>
    <row r="30" spans="2:9" ht="15.75" thickBot="1" x14ac:dyDescent="0.3">
      <c r="B30" s="143" t="s">
        <v>188</v>
      </c>
      <c r="C30" s="144"/>
      <c r="D30" s="145"/>
      <c r="E30" s="25"/>
      <c r="F30" s="25"/>
      <c r="H30" s="43"/>
    </row>
    <row r="31" spans="2:9" x14ac:dyDescent="0.25">
      <c r="B31" s="36"/>
      <c r="C31" s="37"/>
      <c r="D31" s="38"/>
      <c r="E31" s="25"/>
      <c r="F31" s="25"/>
      <c r="H31" s="43"/>
    </row>
    <row r="32" spans="2:9" x14ac:dyDescent="0.25">
      <c r="B32" s="20" t="s">
        <v>12</v>
      </c>
      <c r="C32" s="21" t="s">
        <v>91</v>
      </c>
      <c r="D32" s="27">
        <f>+ROUND((((D23+E23)*D6*D19)+((F23+G23)*D9*F19))/('Sistema de vigilancia'!D22*'Sistema de vigilancia'!D20),0)</f>
        <v>336</v>
      </c>
      <c r="F32" s="22"/>
      <c r="G32" s="22"/>
      <c r="I32" s="43"/>
    </row>
    <row r="33" spans="2:9" x14ac:dyDescent="0.25">
      <c r="B33" s="20" t="s">
        <v>5</v>
      </c>
      <c r="C33" s="21" t="s">
        <v>92</v>
      </c>
      <c r="D33" s="27">
        <f>+ROUND((((D24+E24)*D6*D19)+(F24+G24)*D9*F19)/('Sistema de vigilancia'!D25*(D19+F19)),0)</f>
        <v>48</v>
      </c>
    </row>
    <row r="34" spans="2:9" x14ac:dyDescent="0.25">
      <c r="B34" s="20" t="s">
        <v>6</v>
      </c>
      <c r="C34" s="21" t="s">
        <v>93</v>
      </c>
      <c r="D34" s="30">
        <f>+(((D25+E25)*$D$6*$D$19)+((F25+G25)*$D$9*$F$19))/('Sistema de vigilancia'!D27*($D$19+$F$19))</f>
        <v>24.015873015873016</v>
      </c>
    </row>
    <row r="35" spans="2:9" x14ac:dyDescent="0.25">
      <c r="B35" s="20" t="s">
        <v>7</v>
      </c>
      <c r="C35" s="21" t="s">
        <v>94</v>
      </c>
      <c r="D35" s="30">
        <f>+(((D26+E26)*$D$6*$D$19)+((F26+G26)*$D$9*$F$19))/('Sistema de vigilancia'!D28*($D$19+$F$19))</f>
        <v>16.952380952380953</v>
      </c>
    </row>
    <row r="36" spans="2:9" ht="15.75" thickBot="1" x14ac:dyDescent="0.3">
      <c r="B36" s="23" t="s">
        <v>8</v>
      </c>
      <c r="C36" s="24" t="s">
        <v>95</v>
      </c>
      <c r="D36" s="32">
        <f>+(((D27+E27)*$D$6*$D$19)+((F27+G27)*$D$9*$F$19))/('Sistema de vigilancia'!D29*($D$19+$F$19))</f>
        <v>16.952380952380953</v>
      </c>
    </row>
    <row r="39" spans="2:9" ht="15.75" thickBot="1" x14ac:dyDescent="0.3"/>
    <row r="40" spans="2:9" ht="30" customHeight="1" thickBot="1" x14ac:dyDescent="0.3">
      <c r="B40" s="132" t="s">
        <v>156</v>
      </c>
      <c r="C40" s="133"/>
      <c r="D40" s="133"/>
      <c r="E40" s="133"/>
      <c r="F40" s="133"/>
      <c r="G40" s="134"/>
    </row>
    <row r="41" spans="2:9" ht="30.75" thickBot="1" x14ac:dyDescent="0.3">
      <c r="B41" s="14" t="s">
        <v>153</v>
      </c>
      <c r="C41" s="15">
        <v>2018</v>
      </c>
      <c r="D41" s="15">
        <v>2019</v>
      </c>
      <c r="E41" s="15">
        <v>2020</v>
      </c>
      <c r="F41" s="15">
        <v>2021</v>
      </c>
      <c r="G41" s="58">
        <v>2022</v>
      </c>
    </row>
    <row r="42" spans="2:9" x14ac:dyDescent="0.25">
      <c r="B42" s="94" t="s">
        <v>154</v>
      </c>
      <c r="C42" s="6">
        <v>95</v>
      </c>
      <c r="D42" s="63">
        <v>108</v>
      </c>
      <c r="E42" s="63">
        <v>115</v>
      </c>
      <c r="F42" s="63">
        <v>122</v>
      </c>
      <c r="G42" s="68">
        <v>128</v>
      </c>
    </row>
    <row r="43" spans="2:9" ht="15.75" thickBot="1" x14ac:dyDescent="0.3">
      <c r="B43" s="95" t="s">
        <v>155</v>
      </c>
      <c r="C43" s="55">
        <v>21</v>
      </c>
      <c r="D43" s="47">
        <v>23</v>
      </c>
      <c r="E43" s="47">
        <v>30</v>
      </c>
      <c r="F43" s="47">
        <v>32</v>
      </c>
      <c r="G43" s="13">
        <v>35</v>
      </c>
    </row>
    <row r="44" spans="2:9" ht="15.75" thickBot="1" x14ac:dyDescent="0.3"/>
    <row r="45" spans="2:9" ht="15.75" thickBot="1" x14ac:dyDescent="0.3">
      <c r="B45" s="119" t="s">
        <v>165</v>
      </c>
      <c r="C45" s="146" t="s">
        <v>166</v>
      </c>
      <c r="D45" s="146"/>
      <c r="E45" s="146"/>
      <c r="F45" s="147"/>
    </row>
    <row r="46" spans="2:9" ht="15.75" thickBot="1" x14ac:dyDescent="0.3">
      <c r="B46" s="120">
        <v>1</v>
      </c>
      <c r="C46" s="148" t="str">
        <f>+IF(B46=1,"Puntos de Control que concentran 80% de los accidentes", "Puntos de Control que contran 32% de los accidentes")</f>
        <v>Puntos de Control que concentran 80% de los accidentes</v>
      </c>
      <c r="D46" s="148"/>
      <c r="E46" s="148"/>
      <c r="F46" s="149"/>
    </row>
    <row r="47" spans="2:9" ht="15.75" thickBot="1" x14ac:dyDescent="0.3"/>
    <row r="48" spans="2:9" ht="15.75" thickBot="1" x14ac:dyDescent="0.3">
      <c r="B48" s="129" t="s">
        <v>167</v>
      </c>
      <c r="C48" s="130"/>
      <c r="D48" s="130"/>
      <c r="E48" s="130"/>
      <c r="F48" s="130"/>
      <c r="G48" s="130"/>
      <c r="H48" s="130"/>
      <c r="I48" s="131"/>
    </row>
    <row r="49" spans="2:9" ht="15.75" thickBot="1" x14ac:dyDescent="0.3">
      <c r="B49" s="109" t="s">
        <v>163</v>
      </c>
      <c r="C49" s="49" t="s">
        <v>158</v>
      </c>
      <c r="D49" s="98" t="s">
        <v>162</v>
      </c>
      <c r="E49" s="98">
        <v>2018</v>
      </c>
      <c r="F49" s="98">
        <v>2019</v>
      </c>
      <c r="G49" s="98">
        <v>2020</v>
      </c>
      <c r="H49" s="98">
        <v>2021</v>
      </c>
      <c r="I49" s="99">
        <v>2022</v>
      </c>
    </row>
    <row r="50" spans="2:9" x14ac:dyDescent="0.25">
      <c r="B50" s="153" t="s">
        <v>23</v>
      </c>
      <c r="C50" s="100" t="s">
        <v>160</v>
      </c>
      <c r="D50" s="101" t="s">
        <v>157</v>
      </c>
      <c r="E50" s="101">
        <f>+IF($B$46=1,C42*'Sistema de vigilancia'!$D$5*$D$20, C43*'Sistema de vigilancia'!$D$5*$D$20)</f>
        <v>190</v>
      </c>
      <c r="F50" s="101">
        <f>+IF($B$46=1,D42*'Sistema de vigilancia'!$D$5*$D$20, D43*'Sistema de vigilancia'!$D$5*$D$20)</f>
        <v>216</v>
      </c>
      <c r="G50" s="101">
        <f>+IF($B$46=1,E42*'Sistema de vigilancia'!$D$5*$D$20, E43*'Sistema de vigilancia'!$D$5*$D$20)</f>
        <v>230</v>
      </c>
      <c r="H50" s="101">
        <f>+IF($B$46=1,F42*'Sistema de vigilancia'!$D$5*$D$20, F43*'Sistema de vigilancia'!$D$5*$D$20)</f>
        <v>244</v>
      </c>
      <c r="I50" s="102">
        <f>+IF($B$46=1,G42*'Sistema de vigilancia'!$D$5*$D$20, G43*'Sistema de vigilancia'!$D$5*$D$20)</f>
        <v>256</v>
      </c>
    </row>
    <row r="51" spans="2:9" x14ac:dyDescent="0.25">
      <c r="B51" s="154"/>
      <c r="C51" s="103" t="s">
        <v>160</v>
      </c>
      <c r="D51" s="104" t="s">
        <v>159</v>
      </c>
      <c r="E51" s="60">
        <f>(E50*'Sistema de vigilancia'!$D$7*'Sistema de vigilancia'!$D$18)</f>
        <v>380</v>
      </c>
      <c r="F51" s="60">
        <f>(F50*'Sistema de vigilancia'!$D$7*'Sistema de vigilancia'!$D$18)</f>
        <v>432</v>
      </c>
      <c r="G51" s="60">
        <f>(G50*'Sistema de vigilancia'!$D$7*'Sistema de vigilancia'!$D$18)</f>
        <v>460</v>
      </c>
      <c r="H51" s="60">
        <f>(H50*'Sistema de vigilancia'!$D$7*'Sistema de vigilancia'!$D$18)</f>
        <v>488</v>
      </c>
      <c r="I51" s="97">
        <f>(I50*'Sistema de vigilancia'!$D$7*'Sistema de vigilancia'!$D$18)</f>
        <v>512</v>
      </c>
    </row>
    <row r="52" spans="2:9" x14ac:dyDescent="0.25">
      <c r="B52" s="154"/>
      <c r="C52" s="103" t="s">
        <v>160</v>
      </c>
      <c r="D52" s="104" t="s">
        <v>5</v>
      </c>
      <c r="E52" s="60">
        <f>(+'Sistema de vigilancia'!$D$8*E50)</f>
        <v>190</v>
      </c>
      <c r="F52" s="60">
        <f>(+'Sistema de vigilancia'!$D$8*F50)</f>
        <v>216</v>
      </c>
      <c r="G52" s="60">
        <f>(+'Sistema de vigilancia'!$D$8*G50)</f>
        <v>230</v>
      </c>
      <c r="H52" s="60">
        <f>(+'Sistema de vigilancia'!$D$8*H50)</f>
        <v>244</v>
      </c>
      <c r="I52" s="97">
        <f>(+'Sistema de vigilancia'!$D$8*I50)</f>
        <v>256</v>
      </c>
    </row>
    <row r="53" spans="2:9" x14ac:dyDescent="0.25">
      <c r="B53" s="154"/>
      <c r="C53" s="103" t="s">
        <v>160</v>
      </c>
      <c r="D53" s="104" t="s">
        <v>6</v>
      </c>
      <c r="E53" s="60">
        <f>'Sistema de vigilancia'!$D$9*E50</f>
        <v>190</v>
      </c>
      <c r="F53" s="60">
        <f>'Sistema de vigilancia'!$D$9*F50</f>
        <v>216</v>
      </c>
      <c r="G53" s="60">
        <f>'Sistema de vigilancia'!$D$9*G50</f>
        <v>230</v>
      </c>
      <c r="H53" s="60">
        <f>'Sistema de vigilancia'!$D$9*H50</f>
        <v>244</v>
      </c>
      <c r="I53" s="97">
        <f>'Sistema de vigilancia'!$D$9*I50</f>
        <v>256</v>
      </c>
    </row>
    <row r="54" spans="2:9" x14ac:dyDescent="0.25">
      <c r="B54" s="154"/>
      <c r="C54" s="103" t="s">
        <v>160</v>
      </c>
      <c r="D54" s="104" t="s">
        <v>7</v>
      </c>
      <c r="E54" s="60">
        <f>'Sistema de vigilancia'!$D$10*E50</f>
        <v>0</v>
      </c>
      <c r="F54" s="60">
        <f>'Sistema de vigilancia'!$D$10*F50</f>
        <v>0</v>
      </c>
      <c r="G54" s="60">
        <f>'Sistema de vigilancia'!$D$10*G50</f>
        <v>0</v>
      </c>
      <c r="H54" s="60">
        <f>'Sistema de vigilancia'!$D$10*H50</f>
        <v>0</v>
      </c>
      <c r="I54" s="97">
        <f>'Sistema de vigilancia'!$D$10*I50</f>
        <v>0</v>
      </c>
    </row>
    <row r="55" spans="2:9" ht="15.75" thickBot="1" x14ac:dyDescent="0.3">
      <c r="B55" s="154"/>
      <c r="C55" s="105" t="s">
        <v>160</v>
      </c>
      <c r="D55" s="106" t="s">
        <v>8</v>
      </c>
      <c r="E55" s="98">
        <f>'Sistema de vigilancia'!$D$11*E50</f>
        <v>0</v>
      </c>
      <c r="F55" s="98">
        <f>'Sistema de vigilancia'!$D$11*F50</f>
        <v>0</v>
      </c>
      <c r="G55" s="98">
        <f>'Sistema de vigilancia'!$D$11*G50</f>
        <v>0</v>
      </c>
      <c r="H55" s="98">
        <f>'Sistema de vigilancia'!$D$11*H50</f>
        <v>0</v>
      </c>
      <c r="I55" s="99">
        <f>'Sistema de vigilancia'!$D$11*I50</f>
        <v>0</v>
      </c>
    </row>
    <row r="56" spans="2:9" x14ac:dyDescent="0.25">
      <c r="B56" s="154"/>
      <c r="C56" s="100" t="s">
        <v>161</v>
      </c>
      <c r="D56" s="101" t="s">
        <v>157</v>
      </c>
      <c r="E56" s="101">
        <f>+IF($B$46=1,C42*'Sistema de vigilancia'!$E$5*$E$20,C43*'Sistema de vigilancia'!$E$5*$E$20)</f>
        <v>190</v>
      </c>
      <c r="F56" s="101">
        <f>+IF($B$46=1,D42*'Sistema de vigilancia'!$E$5*$E$20,D43*'Sistema de vigilancia'!$E$5*$E$20)</f>
        <v>216</v>
      </c>
      <c r="G56" s="101">
        <f>+IF($B$46=1,E42*'Sistema de vigilancia'!$E$5*$E$20,E43*'Sistema de vigilancia'!$E$5*$E$20)</f>
        <v>230</v>
      </c>
      <c r="H56" s="101">
        <f>+IF($B$46=1,F42*'Sistema de vigilancia'!$E$5*$E$20,F43*'Sistema de vigilancia'!$E$5*$E$20)</f>
        <v>244</v>
      </c>
      <c r="I56" s="102">
        <f>+IF($B$46=1,G42*'Sistema de vigilancia'!$E$5*$E$20,G43*'Sistema de vigilancia'!$E$5*$E$20)</f>
        <v>256</v>
      </c>
    </row>
    <row r="57" spans="2:9" x14ac:dyDescent="0.25">
      <c r="B57" s="154"/>
      <c r="C57" s="103" t="s">
        <v>161</v>
      </c>
      <c r="D57" s="104" t="s">
        <v>159</v>
      </c>
      <c r="E57" s="60">
        <f>+E56*'Sistema de vigilancia'!$E$7*'Sistema de vigilancia'!$D$19</f>
        <v>760</v>
      </c>
      <c r="F57" s="60">
        <f>+F56*'Sistema de vigilancia'!$E$7*'Sistema de vigilancia'!$D$19</f>
        <v>864</v>
      </c>
      <c r="G57" s="60">
        <f>+G56*'Sistema de vigilancia'!$E$7*'Sistema de vigilancia'!$D$19</f>
        <v>920</v>
      </c>
      <c r="H57" s="60">
        <f>+H56*'Sistema de vigilancia'!$E$7*'Sistema de vigilancia'!$D$19</f>
        <v>976</v>
      </c>
      <c r="I57" s="97">
        <f>+I56*'Sistema de vigilancia'!$E$7*'Sistema de vigilancia'!$D$19</f>
        <v>1024</v>
      </c>
    </row>
    <row r="58" spans="2:9" x14ac:dyDescent="0.25">
      <c r="B58" s="154"/>
      <c r="C58" s="103" t="s">
        <v>161</v>
      </c>
      <c r="D58" s="104" t="s">
        <v>5</v>
      </c>
      <c r="E58" s="60">
        <f>+'Sistema de vigilancia'!$E$8*E56</f>
        <v>190</v>
      </c>
      <c r="F58" s="60">
        <f>+'Sistema de vigilancia'!$E$8*F56</f>
        <v>216</v>
      </c>
      <c r="G58" s="60">
        <f>+'Sistema de vigilancia'!$E$8*G56</f>
        <v>230</v>
      </c>
      <c r="H58" s="60">
        <f>+'Sistema de vigilancia'!$E$8*H56</f>
        <v>244</v>
      </c>
      <c r="I58" s="97">
        <f>+'Sistema de vigilancia'!$E$8*I56</f>
        <v>256</v>
      </c>
    </row>
    <row r="59" spans="2:9" x14ac:dyDescent="0.25">
      <c r="B59" s="154"/>
      <c r="C59" s="103" t="s">
        <v>161</v>
      </c>
      <c r="D59" s="104" t="s">
        <v>6</v>
      </c>
      <c r="E59" s="60">
        <f>+'Sistema de vigilancia'!$E$9*E56</f>
        <v>190</v>
      </c>
      <c r="F59" s="60">
        <f>+'Sistema de vigilancia'!$E$9*F56</f>
        <v>216</v>
      </c>
      <c r="G59" s="60">
        <f>+'Sistema de vigilancia'!$E$9*G56</f>
        <v>230</v>
      </c>
      <c r="H59" s="60">
        <f>+'Sistema de vigilancia'!$E$9*H56</f>
        <v>244</v>
      </c>
      <c r="I59" s="97">
        <f>+'Sistema de vigilancia'!$E$9*I56</f>
        <v>256</v>
      </c>
    </row>
    <row r="60" spans="2:9" x14ac:dyDescent="0.25">
      <c r="B60" s="154"/>
      <c r="C60" s="103" t="s">
        <v>161</v>
      </c>
      <c r="D60" s="104" t="s">
        <v>7</v>
      </c>
      <c r="E60" s="60">
        <f>'Sistema de vigilancia'!$E$10*E56</f>
        <v>190</v>
      </c>
      <c r="F60" s="60">
        <f>'Sistema de vigilancia'!$E$10*F56</f>
        <v>216</v>
      </c>
      <c r="G60" s="60">
        <f>'Sistema de vigilancia'!$E$10*G56</f>
        <v>230</v>
      </c>
      <c r="H60" s="60">
        <f>'Sistema de vigilancia'!$E$10*H56</f>
        <v>244</v>
      </c>
      <c r="I60" s="97">
        <f>'Sistema de vigilancia'!$E$10*I56</f>
        <v>256</v>
      </c>
    </row>
    <row r="61" spans="2:9" ht="15.75" thickBot="1" x14ac:dyDescent="0.3">
      <c r="B61" s="155"/>
      <c r="C61" s="105" t="s">
        <v>161</v>
      </c>
      <c r="D61" s="106" t="s">
        <v>8</v>
      </c>
      <c r="E61" s="98">
        <f>'Sistema de vigilancia'!$E$11*E56</f>
        <v>190</v>
      </c>
      <c r="F61" s="98">
        <f>'Sistema de vigilancia'!$E$11*F56</f>
        <v>216</v>
      </c>
      <c r="G61" s="98">
        <f>'Sistema de vigilancia'!$E$11*G56</f>
        <v>230</v>
      </c>
      <c r="H61" s="98">
        <f>'Sistema de vigilancia'!$E$11*H56</f>
        <v>244</v>
      </c>
      <c r="I61" s="99">
        <f>'Sistema de vigilancia'!$E$11*I56</f>
        <v>256</v>
      </c>
    </row>
    <row r="62" spans="2:9" x14ac:dyDescent="0.25">
      <c r="B62" s="153" t="s">
        <v>164</v>
      </c>
      <c r="C62" s="100" t="s">
        <v>160</v>
      </c>
      <c r="D62" s="101" t="s">
        <v>157</v>
      </c>
      <c r="E62" s="63">
        <f>+IF($B$46=1,C42*'Sistema de vigilancia'!$F$5*$F$20,C43*'Sistema de vigilancia'!$F$5*$F$20)</f>
        <v>190</v>
      </c>
      <c r="F62" s="63">
        <f>+IF($B$46=1,D42*'Sistema de vigilancia'!$F$5*$F$20,D43*'Sistema de vigilancia'!$F$5*$F$20)</f>
        <v>216</v>
      </c>
      <c r="G62" s="63">
        <f>+IF($B$46=1,E42*'Sistema de vigilancia'!$F$5*$F$20,E43*'Sistema de vigilancia'!$F$5*$F$20)</f>
        <v>230</v>
      </c>
      <c r="H62" s="63">
        <f>+IF($B$46=1,F42*'Sistema de vigilancia'!$F$5*$F$20,F43*'Sistema de vigilancia'!$F$5*$F$20)</f>
        <v>244</v>
      </c>
      <c r="I62" s="68">
        <f>+IF($B$46=1,G42*'Sistema de vigilancia'!$F$5*$F$20,G43*'Sistema de vigilancia'!$F$5*$F$20)</f>
        <v>256</v>
      </c>
    </row>
    <row r="63" spans="2:9" x14ac:dyDescent="0.25">
      <c r="B63" s="154"/>
      <c r="C63" s="103" t="s">
        <v>160</v>
      </c>
      <c r="D63" s="104" t="s">
        <v>159</v>
      </c>
      <c r="E63" s="18">
        <f>E62*'Sistema de vigilancia'!$F$7*'Sistema de vigilancia'!$D$18</f>
        <v>380</v>
      </c>
      <c r="F63" s="18">
        <f>F62*'Sistema de vigilancia'!$F$7*'Sistema de vigilancia'!$D$18</f>
        <v>432</v>
      </c>
      <c r="G63" s="18">
        <f>G62*'Sistema de vigilancia'!$F$7*'Sistema de vigilancia'!$D$18</f>
        <v>460</v>
      </c>
      <c r="H63" s="18">
        <f>H62*'Sistema de vigilancia'!$F$7*'Sistema de vigilancia'!$D$18</f>
        <v>488</v>
      </c>
      <c r="I63" s="9">
        <f>I62*'Sistema de vigilancia'!$F$7*'Sistema de vigilancia'!$D$18</f>
        <v>512</v>
      </c>
    </row>
    <row r="64" spans="2:9" x14ac:dyDescent="0.25">
      <c r="B64" s="154"/>
      <c r="C64" s="103" t="s">
        <v>160</v>
      </c>
      <c r="D64" s="104" t="s">
        <v>5</v>
      </c>
      <c r="E64" s="18">
        <f>+'Sistema de vigilancia'!$F$8*E$62</f>
        <v>190</v>
      </c>
      <c r="F64" s="18">
        <f>+'Sistema de vigilancia'!$F$8*F$62</f>
        <v>216</v>
      </c>
      <c r="G64" s="18">
        <f>+'Sistema de vigilancia'!$F$8*G$62</f>
        <v>230</v>
      </c>
      <c r="H64" s="18">
        <f>+'Sistema de vigilancia'!$F$8*H$62</f>
        <v>244</v>
      </c>
      <c r="I64" s="9">
        <f>+'Sistema de vigilancia'!$F$8*I$62</f>
        <v>256</v>
      </c>
    </row>
    <row r="65" spans="2:9" x14ac:dyDescent="0.25">
      <c r="B65" s="154"/>
      <c r="C65" s="103" t="s">
        <v>160</v>
      </c>
      <c r="D65" s="104" t="s">
        <v>6</v>
      </c>
      <c r="E65" s="18">
        <f>+'Sistema de vigilancia'!$F$9*E$62</f>
        <v>190</v>
      </c>
      <c r="F65" s="18">
        <f>+'Sistema de vigilancia'!$F$9*F$62</f>
        <v>216</v>
      </c>
      <c r="G65" s="18">
        <f>+'Sistema de vigilancia'!$F$9*G$62</f>
        <v>230</v>
      </c>
      <c r="H65" s="18">
        <f>+'Sistema de vigilancia'!$F$9*H$62</f>
        <v>244</v>
      </c>
      <c r="I65" s="9">
        <f>+'Sistema de vigilancia'!$F$9*I$62</f>
        <v>256</v>
      </c>
    </row>
    <row r="66" spans="2:9" x14ac:dyDescent="0.25">
      <c r="B66" s="154"/>
      <c r="C66" s="103" t="s">
        <v>160</v>
      </c>
      <c r="D66" s="104" t="s">
        <v>7</v>
      </c>
      <c r="E66" s="18">
        <f>+'Sistema de vigilancia'!$F$10*E$62</f>
        <v>190</v>
      </c>
      <c r="F66" s="18">
        <f>+'Sistema de vigilancia'!$F$10*F$62</f>
        <v>216</v>
      </c>
      <c r="G66" s="18">
        <f>+'Sistema de vigilancia'!$F$10*G$62</f>
        <v>230</v>
      </c>
      <c r="H66" s="18">
        <f>+'Sistema de vigilancia'!$F$10*H$62</f>
        <v>244</v>
      </c>
      <c r="I66" s="9">
        <f>+'Sistema de vigilancia'!$F$10*I$62</f>
        <v>256</v>
      </c>
    </row>
    <row r="67" spans="2:9" ht="15.75" thickBot="1" x14ac:dyDescent="0.3">
      <c r="B67" s="154"/>
      <c r="C67" s="105" t="s">
        <v>160</v>
      </c>
      <c r="D67" s="106" t="s">
        <v>8</v>
      </c>
      <c r="E67" s="47">
        <f>+'Sistema de vigilancia'!$F$11*E$62</f>
        <v>190</v>
      </c>
      <c r="F67" s="47">
        <f>+'Sistema de vigilancia'!$F$11*F$62</f>
        <v>216</v>
      </c>
      <c r="G67" s="47">
        <f>+'Sistema de vigilancia'!$F$11*G$62</f>
        <v>230</v>
      </c>
      <c r="H67" s="47">
        <f>+'Sistema de vigilancia'!$F$11*H$62</f>
        <v>244</v>
      </c>
      <c r="I67" s="13">
        <f>+'Sistema de vigilancia'!$F$11*I$62</f>
        <v>256</v>
      </c>
    </row>
    <row r="68" spans="2:9" x14ac:dyDescent="0.25">
      <c r="B68" s="154"/>
      <c r="C68" s="100" t="s">
        <v>161</v>
      </c>
      <c r="D68" s="101" t="s">
        <v>157</v>
      </c>
      <c r="E68" s="63">
        <f>+IF($B$46=1,C42*'Sistema de vigilancia'!$G$5*$G$20,C43*'Sistema de vigilancia'!$G$5*$G$20)</f>
        <v>190</v>
      </c>
      <c r="F68" s="63">
        <f>+IF($B$46=1,D42*'Sistema de vigilancia'!$G$5*$G$20,D43*'Sistema de vigilancia'!$G$5*$G$20)</f>
        <v>216</v>
      </c>
      <c r="G68" s="63">
        <f>+IF($B$46=1,E42*'Sistema de vigilancia'!$G$5*$G$20,E43*'Sistema de vigilancia'!$G$5*$G$20)</f>
        <v>230</v>
      </c>
      <c r="H68" s="63">
        <f>+IF($B$46=1,F42*'Sistema de vigilancia'!$G$5*$G$20,F43*'Sistema de vigilancia'!$G$5*$G$20)</f>
        <v>244</v>
      </c>
      <c r="I68" s="68">
        <f>+IF($B$46=1,G42*'Sistema de vigilancia'!$G$5*$G$20,G43*'Sistema de vigilancia'!$G$5*$G$20)</f>
        <v>256</v>
      </c>
    </row>
    <row r="69" spans="2:9" x14ac:dyDescent="0.25">
      <c r="B69" s="154"/>
      <c r="C69" s="103" t="s">
        <v>161</v>
      </c>
      <c r="D69" s="104" t="s">
        <v>159</v>
      </c>
      <c r="E69" s="18">
        <f>+E68*'Sistema de vigilancia'!$G$7*'Sistema de vigilancia'!$D$19</f>
        <v>760</v>
      </c>
      <c r="F69" s="18">
        <f>+F68*'Sistema de vigilancia'!$G$7*'Sistema de vigilancia'!$D$19</f>
        <v>864</v>
      </c>
      <c r="G69" s="18">
        <f>+G68*'Sistema de vigilancia'!$G$7*'Sistema de vigilancia'!$D$19</f>
        <v>920</v>
      </c>
      <c r="H69" s="18">
        <f>+H68*'Sistema de vigilancia'!$G$7*'Sistema de vigilancia'!$D$19</f>
        <v>976</v>
      </c>
      <c r="I69" s="9">
        <f>+I68*'Sistema de vigilancia'!$G$7*'Sistema de vigilancia'!$D$19</f>
        <v>1024</v>
      </c>
    </row>
    <row r="70" spans="2:9" x14ac:dyDescent="0.25">
      <c r="B70" s="154"/>
      <c r="C70" s="103" t="s">
        <v>161</v>
      </c>
      <c r="D70" s="104" t="s">
        <v>5</v>
      </c>
      <c r="E70" s="18">
        <f>+'Sistema de vigilancia'!$G$8*E$68</f>
        <v>190</v>
      </c>
      <c r="F70" s="18">
        <f>+'Sistema de vigilancia'!$G$8*F$68</f>
        <v>216</v>
      </c>
      <c r="G70" s="18">
        <f>+'Sistema de vigilancia'!$G$8*G$68</f>
        <v>230</v>
      </c>
      <c r="H70" s="18">
        <f>+'Sistema de vigilancia'!$G$8*H$68</f>
        <v>244</v>
      </c>
      <c r="I70" s="9">
        <f>+'Sistema de vigilancia'!$G$8*I$68</f>
        <v>256</v>
      </c>
    </row>
    <row r="71" spans="2:9" x14ac:dyDescent="0.25">
      <c r="B71" s="154"/>
      <c r="C71" s="103" t="s">
        <v>161</v>
      </c>
      <c r="D71" s="104" t="s">
        <v>6</v>
      </c>
      <c r="E71" s="18">
        <f>+'Sistema de vigilancia'!$G$9*E$68</f>
        <v>190</v>
      </c>
      <c r="F71" s="18">
        <f>+'Sistema de vigilancia'!$G$9*F$68</f>
        <v>216</v>
      </c>
      <c r="G71" s="18">
        <f>+'Sistema de vigilancia'!$G$9*G$68</f>
        <v>230</v>
      </c>
      <c r="H71" s="18">
        <f>+'Sistema de vigilancia'!$G$9*H$68</f>
        <v>244</v>
      </c>
      <c r="I71" s="9">
        <f>+'Sistema de vigilancia'!$G$9*I$68</f>
        <v>256</v>
      </c>
    </row>
    <row r="72" spans="2:9" x14ac:dyDescent="0.25">
      <c r="B72" s="154"/>
      <c r="C72" s="103" t="s">
        <v>161</v>
      </c>
      <c r="D72" s="104" t="s">
        <v>7</v>
      </c>
      <c r="E72" s="18">
        <f>+'Sistema de vigilancia'!$G$10*E$68</f>
        <v>190</v>
      </c>
      <c r="F72" s="18">
        <f>+'Sistema de vigilancia'!$G$10*F$68</f>
        <v>216</v>
      </c>
      <c r="G72" s="18">
        <f>+'Sistema de vigilancia'!$G$10*G$68</f>
        <v>230</v>
      </c>
      <c r="H72" s="18">
        <f>+'Sistema de vigilancia'!$G$10*H$68</f>
        <v>244</v>
      </c>
      <c r="I72" s="9">
        <f>+'Sistema de vigilancia'!$G$10*I$68</f>
        <v>256</v>
      </c>
    </row>
    <row r="73" spans="2:9" ht="15.75" thickBot="1" x14ac:dyDescent="0.3">
      <c r="B73" s="155"/>
      <c r="C73" s="105" t="s">
        <v>161</v>
      </c>
      <c r="D73" s="106" t="s">
        <v>8</v>
      </c>
      <c r="E73" s="47">
        <f>+'Sistema de vigilancia'!$G$11*E$68</f>
        <v>190</v>
      </c>
      <c r="F73" s="47">
        <f>+'Sistema de vigilancia'!$G$11*F$68</f>
        <v>216</v>
      </c>
      <c r="G73" s="47">
        <f>+'Sistema de vigilancia'!$G$11*G$68</f>
        <v>230</v>
      </c>
      <c r="H73" s="47">
        <f>+'Sistema de vigilancia'!$G$11*H$68</f>
        <v>244</v>
      </c>
      <c r="I73" s="13">
        <f>+'Sistema de vigilancia'!$G$11*I$68</f>
        <v>256</v>
      </c>
    </row>
    <row r="74" spans="2:9" ht="15.75" thickBot="1" x14ac:dyDescent="0.3"/>
    <row r="75" spans="2:9" ht="21.75" thickBot="1" x14ac:dyDescent="0.4">
      <c r="C75" s="150" t="s">
        <v>111</v>
      </c>
      <c r="D75" s="151"/>
      <c r="E75" s="151"/>
      <c r="F75" s="151"/>
      <c r="G75" s="151"/>
      <c r="H75" s="151"/>
      <c r="I75" s="152"/>
    </row>
    <row r="76" spans="2:9" ht="15.75" thickBot="1" x14ac:dyDescent="0.3">
      <c r="C76" s="14" t="s">
        <v>106</v>
      </c>
      <c r="D76" s="57" t="s">
        <v>117</v>
      </c>
      <c r="E76" s="107">
        <v>2018</v>
      </c>
      <c r="F76" s="107">
        <v>2019</v>
      </c>
      <c r="G76" s="107">
        <v>2020</v>
      </c>
      <c r="H76" s="107">
        <v>2021</v>
      </c>
      <c r="I76" s="108">
        <v>2022</v>
      </c>
    </row>
    <row r="77" spans="2:9" x14ac:dyDescent="0.25">
      <c r="C77" s="5" t="s">
        <v>12</v>
      </c>
      <c r="D77" s="63" t="s">
        <v>91</v>
      </c>
      <c r="E77" s="6">
        <f>+ROUND((((E51+E57)*$D$6*$D$19)+((E63+E69)*$D$9*$F$19))/('Sistema de vigilancia'!$D$22*'Sistema de vigilancia'!$D$20),0)</f>
        <v>359</v>
      </c>
      <c r="F77" s="6">
        <f>+ROUND((((F51+F57)*$D$6*$D$19)+((F63+F69)*$D$9*$F$19))/('Sistema de vigilancia'!$D$22*'Sistema de vigilancia'!$D$20),0)</f>
        <v>408</v>
      </c>
      <c r="G77" s="6">
        <f>+ROUND((((G51+G57)*$D$6*$D$19)+((G63+G69)*$D$9*$F$19))/('Sistema de vigilancia'!$D$22*'Sistema de vigilancia'!$D$20),0)</f>
        <v>434</v>
      </c>
      <c r="H77" s="6">
        <f>+ROUND((((H51+H57)*$D$6*$D$19)+((H63+H69)*$D$9*$F$19))/('Sistema de vigilancia'!$D$22*'Sistema de vigilancia'!$D$20),0)</f>
        <v>461</v>
      </c>
      <c r="I77" s="16">
        <f>+ROUND((((I51+I57)*$D$6*$D$19)+((I63+I69)*$D$9*$F$19))/('Sistema de vigilancia'!$D$22*'Sistema de vigilancia'!$D$20),0)</f>
        <v>484</v>
      </c>
    </row>
    <row r="78" spans="2:9" x14ac:dyDescent="0.25">
      <c r="C78" s="7" t="s">
        <v>5</v>
      </c>
      <c r="D78" s="18" t="s">
        <v>92</v>
      </c>
      <c r="E78" s="18">
        <f>+ROUND((((E52+E58)*$D$6*$D$19)+(E64+E70)*$D$9*$F$19)/('Sistema de vigilancia'!$D$25*7),0)</f>
        <v>51</v>
      </c>
      <c r="F78" s="18">
        <f>+ROUND((((F52+F58)*$D$6*$D$19)+(F64+F70)*$D$9*$F$19)/('Sistema de vigilancia'!$D$25*7),0)</f>
        <v>58</v>
      </c>
      <c r="G78" s="18">
        <f>+ROUND((((G52+G58)*$D$6*$D$19)+(G64+G70)*$D$9*$F$19)/('Sistema de vigilancia'!$D$25*7),0)</f>
        <v>62</v>
      </c>
      <c r="H78" s="18">
        <f>+ROUND((((H52+H58)*$D$6*$D$19)+(H64+H70)*$D$9*$F$19)/('Sistema de vigilancia'!$D$25*7),0)</f>
        <v>66</v>
      </c>
      <c r="I78" s="9">
        <f>+ROUND((((I52+I58)*$D$6*$D$19)+(I64+I70)*$D$9*$F$19)/('Sistema de vigilancia'!$D$25*7),0)</f>
        <v>69</v>
      </c>
    </row>
    <row r="79" spans="2:9" ht="30" x14ac:dyDescent="0.25">
      <c r="C79" s="7" t="s">
        <v>6</v>
      </c>
      <c r="D79" s="18" t="s">
        <v>93</v>
      </c>
      <c r="E79" s="18">
        <f>+ROUND((((E53+E59)*$D$6*$D$19)+((E65+E71)*$D$9*$F$19))/('Sistema de vigilancia'!$D$27*($D$19+$F$19)),0)</f>
        <v>26</v>
      </c>
      <c r="F79" s="18">
        <f>+ROUND((((F53+F59)*$D$6*$D$19)+((F65+F71)*$D$9*$F$19))/('Sistema de vigilancia'!$D$27*($D$19+$F$19)),0)</f>
        <v>29</v>
      </c>
      <c r="G79" s="18">
        <f>+ROUND((((G53+G59)*$D$6*$D$19)+((G65+G71)*$D$9*$F$19))/('Sistema de vigilancia'!$D$27*($D$19+$F$19)),0)</f>
        <v>31</v>
      </c>
      <c r="H79" s="18">
        <f>+ROUND((((H53+H59)*$D$6*$D$19)+((H65+H71)*$D$9*$F$19))/('Sistema de vigilancia'!$D$27*($D$19+$F$19)),0)</f>
        <v>33</v>
      </c>
      <c r="I79" s="9">
        <f>+ROUND((((I53+I59)*$D$6*$D$19)+((I65+I71)*$D$9*$F$19))/('Sistema de vigilancia'!$D$27*($D$19+$F$19)),0)</f>
        <v>35</v>
      </c>
    </row>
    <row r="80" spans="2:9" ht="30" x14ac:dyDescent="0.25">
      <c r="C80" s="7" t="s">
        <v>7</v>
      </c>
      <c r="D80" s="18" t="s">
        <v>94</v>
      </c>
      <c r="E80" s="18">
        <f>+ROUND((((E54+E60)*$D$6*$D$19)+((E66+E72)*$D$9*$F$19))/('Sistema de vigilancia'!$D$28*($D$19+$F$19)),0)</f>
        <v>18</v>
      </c>
      <c r="F80" s="18">
        <f>+ROUND((((F54+F60)*$D$6*$D$19)+((F66+F72)*$D$9*$F$19))/('Sistema de vigilancia'!$D$28*($D$19+$F$19)),0)</f>
        <v>21</v>
      </c>
      <c r="G80" s="18">
        <f>+ROUND((((G54+G60)*$D$6*$D$19)+((G66+G72)*$D$9*$F$19))/('Sistema de vigilancia'!$D$28*($D$19+$F$19)),0)</f>
        <v>22</v>
      </c>
      <c r="H80" s="18">
        <f>+ROUND((((H54+H60)*$D$6*$D$19)+((H66+H72)*$D$9*$F$19))/('Sistema de vigilancia'!$D$28*($D$19+$F$19)),0)</f>
        <v>23</v>
      </c>
      <c r="I80" s="9">
        <f>+ROUND((((I54+I60)*$D$6*$D$19)+((I66+I72)*$D$9*$F$19))/('Sistema de vigilancia'!$D$28*($D$19+$F$19)),0)</f>
        <v>24</v>
      </c>
    </row>
    <row r="81" spans="2:9" ht="15.75" thickBot="1" x14ac:dyDescent="0.3">
      <c r="C81" s="96" t="s">
        <v>8</v>
      </c>
      <c r="D81" s="47" t="s">
        <v>95</v>
      </c>
      <c r="E81" s="47">
        <f>+ROUND((((E55+E61)*$D$6*$D$19)+((E67+E73)*$D$9*$F$19))/('Sistema de vigilancia'!$D$29*($D$19+$F$19)),0)</f>
        <v>18</v>
      </c>
      <c r="F81" s="47">
        <f>+ROUND((((F55+F61)*$D$6*$D$19)+((F67+F73)*$D$9*$F$19))/('Sistema de vigilancia'!$D$29*($D$19+$F$19)),0)</f>
        <v>21</v>
      </c>
      <c r="G81" s="47">
        <f>+ROUND((((G55+G61)*$D$6*$D$19)+((G67+G73)*$D$9*$F$19))/('Sistema de vigilancia'!$D$29*($D$19+$F$19)),0)</f>
        <v>22</v>
      </c>
      <c r="H81" s="47">
        <f>+ROUND((((H55+H61)*$D$6*$D$19)+((H67+H73)*$D$9*$F$19))/('Sistema de vigilancia'!$D$29*($D$19+$F$19)),0)</f>
        <v>23</v>
      </c>
      <c r="I81" s="13">
        <f>+ROUND((((I55+I61)*$D$6*$D$19)+((I67+I73)*$D$9*$F$19))/('Sistema de vigilancia'!$D$29*($D$19+$F$19)),0)</f>
        <v>24</v>
      </c>
    </row>
    <row r="82" spans="2:9" ht="45.75" thickBot="1" x14ac:dyDescent="0.3">
      <c r="C82" s="14" t="s">
        <v>151</v>
      </c>
      <c r="D82" s="57" t="s">
        <v>168</v>
      </c>
      <c r="E82" s="121">
        <f>+(((E51+E57)*$D$19*$D$6)+((E63+E69)*$F$19*$D$9))*52</f>
        <v>671840</v>
      </c>
      <c r="F82" s="121">
        <f>+(((F51+F57)*$D$19*$D$6)+((F63+F69)*$F$19*$D$9))*52</f>
        <v>763776</v>
      </c>
      <c r="G82" s="121">
        <f>+(((G51+G57)*$D$19*$D$6)+((G63+G69)*$F$19*$D$9))*52</f>
        <v>813280</v>
      </c>
      <c r="H82" s="121">
        <f>+(((H51+H57)*$D$19*$D$6)+((H63+H69)*$F$19*$D$9))*52</f>
        <v>862784</v>
      </c>
      <c r="I82" s="122">
        <f>+(((I51+I57)*$D$19*$D$6)+((I63+I69)*$F$19*$D$9))*52</f>
        <v>905216</v>
      </c>
    </row>
    <row r="87" spans="2:9" x14ac:dyDescent="0.25">
      <c r="B87" s="4"/>
      <c r="C87" s="4"/>
      <c r="H87" s="22"/>
      <c r="I87" s="22"/>
    </row>
  </sheetData>
  <mergeCells count="11">
    <mergeCell ref="C45:F45"/>
    <mergeCell ref="C46:F46"/>
    <mergeCell ref="B48:I48"/>
    <mergeCell ref="C75:I75"/>
    <mergeCell ref="B50:B61"/>
    <mergeCell ref="B62:B73"/>
    <mergeCell ref="D19:E19"/>
    <mergeCell ref="F19:G19"/>
    <mergeCell ref="B17:G17"/>
    <mergeCell ref="B30:D30"/>
    <mergeCell ref="B40:G4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Lista!$A$1:$A$2</xm:f>
          </x14:formula1>
          <xm:sqref>B46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workbookViewId="0">
      <selection activeCell="H3" sqref="H3"/>
    </sheetView>
  </sheetViews>
  <sheetFormatPr baseColWidth="10" defaultRowHeight="15" x14ac:dyDescent="0.25"/>
  <cols>
    <col min="1" max="1" width="5.28515625" style="4" customWidth="1"/>
    <col min="2" max="2" width="17.85546875" style="4" customWidth="1"/>
    <col min="3" max="3" width="14.140625" style="4" customWidth="1"/>
    <col min="4" max="16384" width="11.42578125" style="4"/>
  </cols>
  <sheetData>
    <row r="1" spans="2:9" ht="15.75" thickBot="1" x14ac:dyDescent="0.3"/>
    <row r="2" spans="2:9" ht="15.75" thickBot="1" x14ac:dyDescent="0.3">
      <c r="B2" s="129" t="s">
        <v>105</v>
      </c>
      <c r="C2" s="130"/>
      <c r="D2" s="130"/>
      <c r="E2" s="130"/>
      <c r="F2" s="130"/>
      <c r="G2" s="130"/>
      <c r="H2" s="130"/>
      <c r="I2" s="131"/>
    </row>
    <row r="3" spans="2:9" x14ac:dyDescent="0.25">
      <c r="B3" s="17" t="s">
        <v>106</v>
      </c>
      <c r="C3" s="18" t="s">
        <v>104</v>
      </c>
      <c r="D3" s="18">
        <v>2</v>
      </c>
      <c r="E3" s="18">
        <v>3</v>
      </c>
      <c r="F3" s="18">
        <v>4</v>
      </c>
      <c r="G3" s="18">
        <v>5</v>
      </c>
      <c r="H3" s="18" t="s">
        <v>103</v>
      </c>
      <c r="I3" s="9" t="s">
        <v>76</v>
      </c>
    </row>
    <row r="4" spans="2:9" x14ac:dyDescent="0.25">
      <c r="B4" s="48" t="s">
        <v>5</v>
      </c>
      <c r="C4" s="18">
        <v>5</v>
      </c>
      <c r="D4" s="18">
        <v>10</v>
      </c>
      <c r="E4" s="18">
        <v>0</v>
      </c>
      <c r="F4" s="18">
        <v>0</v>
      </c>
      <c r="G4" s="18">
        <v>5</v>
      </c>
      <c r="H4" s="18">
        <v>10</v>
      </c>
      <c r="I4" s="9">
        <f>SUM(C4:H4)</f>
        <v>30</v>
      </c>
    </row>
    <row r="5" spans="2:9" x14ac:dyDescent="0.25">
      <c r="B5" s="48" t="s">
        <v>6</v>
      </c>
      <c r="C5" s="18">
        <v>10</v>
      </c>
      <c r="D5" s="18">
        <v>0</v>
      </c>
      <c r="E5" s="18">
        <v>0</v>
      </c>
      <c r="F5" s="18">
        <v>15</v>
      </c>
      <c r="G5" s="18">
        <v>0</v>
      </c>
      <c r="H5" s="18">
        <v>45</v>
      </c>
      <c r="I5" s="9">
        <f t="shared" ref="I5:I7" si="0">SUM(C5:H5)</f>
        <v>70</v>
      </c>
    </row>
    <row r="6" spans="2:9" x14ac:dyDescent="0.25">
      <c r="B6" s="48" t="s">
        <v>7</v>
      </c>
      <c r="C6" s="18">
        <v>15</v>
      </c>
      <c r="D6" s="18">
        <v>5</v>
      </c>
      <c r="E6" s="18">
        <v>0</v>
      </c>
      <c r="F6" s="18">
        <v>0</v>
      </c>
      <c r="G6" s="18">
        <v>0</v>
      </c>
      <c r="H6" s="18">
        <v>5</v>
      </c>
      <c r="I6" s="9">
        <f t="shared" si="0"/>
        <v>25</v>
      </c>
    </row>
    <row r="7" spans="2:9" ht="15.75" thickBot="1" x14ac:dyDescent="0.3">
      <c r="B7" s="49" t="s">
        <v>8</v>
      </c>
      <c r="C7" s="47">
        <v>5</v>
      </c>
      <c r="D7" s="47">
        <v>5</v>
      </c>
      <c r="E7" s="47">
        <v>0</v>
      </c>
      <c r="F7" s="47">
        <v>0</v>
      </c>
      <c r="G7" s="47">
        <v>0</v>
      </c>
      <c r="H7" s="47">
        <v>8</v>
      </c>
      <c r="I7" s="13">
        <f t="shared" si="0"/>
        <v>18</v>
      </c>
    </row>
    <row r="8" spans="2:9" ht="15.75" thickBot="1" x14ac:dyDescent="0.3">
      <c r="B8" s="60"/>
      <c r="C8" s="18"/>
      <c r="D8" s="18"/>
      <c r="E8" s="18"/>
      <c r="F8" s="18"/>
      <c r="G8" s="18"/>
      <c r="H8" s="18"/>
      <c r="I8" s="18"/>
    </row>
    <row r="9" spans="2:9" ht="15.75" thickBot="1" x14ac:dyDescent="0.3">
      <c r="B9" s="129" t="s">
        <v>144</v>
      </c>
      <c r="C9" s="131"/>
      <c r="D9" s="18"/>
      <c r="E9" s="18"/>
      <c r="F9" s="18"/>
      <c r="G9" s="18"/>
      <c r="H9" s="18"/>
      <c r="I9" s="18"/>
    </row>
    <row r="10" spans="2:9" ht="15.75" thickBot="1" x14ac:dyDescent="0.3">
      <c r="B10" s="49" t="s">
        <v>143</v>
      </c>
      <c r="C10" s="13">
        <v>360</v>
      </c>
      <c r="D10" s="18"/>
      <c r="E10" s="18"/>
      <c r="F10" s="18"/>
      <c r="G10" s="18"/>
      <c r="H10" s="18"/>
      <c r="I10" s="18"/>
    </row>
    <row r="11" spans="2:9" x14ac:dyDescent="0.25">
      <c r="B11" s="60"/>
      <c r="C11" s="18"/>
      <c r="D11" s="18"/>
      <c r="E11" s="18"/>
      <c r="F11" s="18"/>
      <c r="G11" s="18"/>
      <c r="H11" s="18"/>
      <c r="I11" s="18"/>
    </row>
    <row r="12" spans="2:9" ht="15.75" thickBot="1" x14ac:dyDescent="0.3">
      <c r="B12" s="45"/>
    </row>
    <row r="13" spans="2:9" ht="15.75" thickBot="1" x14ac:dyDescent="0.3">
      <c r="B13" s="129"/>
      <c r="C13" s="130"/>
      <c r="D13" s="131"/>
    </row>
    <row r="14" spans="2:9" x14ac:dyDescent="0.25">
      <c r="B14" s="62" t="s">
        <v>12</v>
      </c>
      <c r="C14" s="63" t="s">
        <v>142</v>
      </c>
      <c r="D14" s="64">
        <v>0.5</v>
      </c>
    </row>
    <row r="15" spans="2:9" x14ac:dyDescent="0.25">
      <c r="B15" s="48" t="s">
        <v>5</v>
      </c>
      <c r="C15" s="60" t="s">
        <v>138</v>
      </c>
      <c r="D15" s="65">
        <v>0.5</v>
      </c>
    </row>
    <row r="16" spans="2:9" x14ac:dyDescent="0.25">
      <c r="B16" s="48" t="s">
        <v>6</v>
      </c>
      <c r="C16" s="18" t="s">
        <v>139</v>
      </c>
      <c r="D16" s="65">
        <v>1</v>
      </c>
    </row>
    <row r="17" spans="2:14" x14ac:dyDescent="0.25">
      <c r="B17" s="48" t="s">
        <v>7</v>
      </c>
      <c r="C17" s="18" t="s">
        <v>140</v>
      </c>
      <c r="D17" s="66">
        <v>1</v>
      </c>
    </row>
    <row r="18" spans="2:14" ht="15.75" thickBot="1" x14ac:dyDescent="0.3">
      <c r="B18" s="49" t="s">
        <v>8</v>
      </c>
      <c r="C18" s="47" t="s">
        <v>141</v>
      </c>
      <c r="D18" s="67">
        <v>1</v>
      </c>
    </row>
    <row r="19" spans="2:14" x14ac:dyDescent="0.25">
      <c r="B19" s="18"/>
      <c r="C19" s="18"/>
      <c r="D19" s="18"/>
    </row>
    <row r="22" spans="2:14" ht="15.75" thickBot="1" x14ac:dyDescent="0.3"/>
    <row r="23" spans="2:14" ht="15.75" thickBot="1" x14ac:dyDescent="0.3">
      <c r="B23" s="156" t="s">
        <v>137</v>
      </c>
      <c r="C23" s="157"/>
      <c r="D23" s="157"/>
      <c r="E23" s="157"/>
      <c r="F23" s="157"/>
      <c r="G23" s="157"/>
      <c r="H23" s="158"/>
    </row>
    <row r="24" spans="2:14" ht="15.75" thickBot="1" x14ac:dyDescent="0.3">
      <c r="B24" s="56" t="s">
        <v>145</v>
      </c>
      <c r="C24" s="57" t="s">
        <v>106</v>
      </c>
      <c r="D24" s="57">
        <v>2018</v>
      </c>
      <c r="E24" s="57">
        <v>2019</v>
      </c>
      <c r="F24" s="57">
        <v>2020</v>
      </c>
      <c r="G24" s="57">
        <v>2021</v>
      </c>
      <c r="H24" s="69">
        <v>2022</v>
      </c>
    </row>
    <row r="25" spans="2:14" x14ac:dyDescent="0.25">
      <c r="B25" s="17" t="s">
        <v>106</v>
      </c>
      <c r="C25" s="18" t="s">
        <v>172</v>
      </c>
      <c r="D25" s="70">
        <f>+ROUND(C10*D14*'Sistema de vigilancia'!D23,0)</f>
        <v>162</v>
      </c>
      <c r="E25" s="70">
        <f>+D25</f>
        <v>162</v>
      </c>
      <c r="F25" s="70">
        <f t="shared" ref="F25:H25" si="1">+E25</f>
        <v>162</v>
      </c>
      <c r="G25" s="70">
        <f t="shared" si="1"/>
        <v>162</v>
      </c>
      <c r="H25" s="123">
        <f t="shared" si="1"/>
        <v>162</v>
      </c>
    </row>
    <row r="26" spans="2:14" x14ac:dyDescent="0.25">
      <c r="B26" s="17" t="s">
        <v>106</v>
      </c>
      <c r="C26" s="18" t="s">
        <v>107</v>
      </c>
      <c r="D26" s="18">
        <f>ROUND(+SUM(C4:G4)*D15,0)</f>
        <v>10</v>
      </c>
      <c r="E26" s="18">
        <f>ROUND(+SUM(C4:F4)*D15,0)</f>
        <v>8</v>
      </c>
      <c r="F26" s="18">
        <f>ROUND(+SUM(C4:E4)*D15,0)</f>
        <v>8</v>
      </c>
      <c r="G26" s="18">
        <f>ROUND(+SUM(C4:D4)*D15,0)</f>
        <v>8</v>
      </c>
      <c r="H26" s="9">
        <f>ROUND(+SUM(C4)*D15,0)</f>
        <v>3</v>
      </c>
    </row>
    <row r="27" spans="2:14" x14ac:dyDescent="0.25">
      <c r="B27" s="17" t="s">
        <v>106</v>
      </c>
      <c r="C27" s="18" t="s">
        <v>108</v>
      </c>
      <c r="D27" s="18">
        <f>+SUM(C5:G5)</f>
        <v>25</v>
      </c>
      <c r="E27" s="18">
        <f>+SUM(C5:F5)</f>
        <v>25</v>
      </c>
      <c r="F27" s="18">
        <f>+SUM(C5:E5)</f>
        <v>10</v>
      </c>
      <c r="G27" s="18">
        <f>+SUM(C5:D5)</f>
        <v>10</v>
      </c>
      <c r="H27" s="9">
        <f>+SUM(C5)</f>
        <v>10</v>
      </c>
    </row>
    <row r="28" spans="2:14" x14ac:dyDescent="0.25">
      <c r="B28" s="17" t="s">
        <v>106</v>
      </c>
      <c r="C28" s="18" t="s">
        <v>109</v>
      </c>
      <c r="D28" s="18">
        <f>+SUM(C6:G6)</f>
        <v>20</v>
      </c>
      <c r="E28" s="18">
        <f>+SUM(C6:F6)</f>
        <v>20</v>
      </c>
      <c r="F28" s="18">
        <f>+SUM(C6:E6)</f>
        <v>20</v>
      </c>
      <c r="G28" s="18">
        <f>+SUM(C6:D6)</f>
        <v>20</v>
      </c>
      <c r="H28" s="9">
        <f>+SUM(C6)</f>
        <v>15</v>
      </c>
    </row>
    <row r="29" spans="2:14" x14ac:dyDescent="0.25">
      <c r="B29" s="17" t="s">
        <v>106</v>
      </c>
      <c r="C29" s="18" t="s">
        <v>110</v>
      </c>
      <c r="D29" s="18">
        <f>+SUM(C7:G7)</f>
        <v>10</v>
      </c>
      <c r="E29" s="18">
        <f>+SUM(C7:F7)</f>
        <v>10</v>
      </c>
      <c r="F29" s="18">
        <f>+SUM(C7:E7)</f>
        <v>10</v>
      </c>
      <c r="G29" s="18">
        <f>+SUM(C7:D7)</f>
        <v>10</v>
      </c>
      <c r="H29" s="9">
        <f>+SUM(C7)</f>
        <v>5</v>
      </c>
    </row>
    <row r="30" spans="2:14" ht="15.75" thickBot="1" x14ac:dyDescent="0.3">
      <c r="B30" s="46" t="s">
        <v>146</v>
      </c>
      <c r="C30" s="47" t="s">
        <v>174</v>
      </c>
      <c r="D30" s="124">
        <f>+(D25*'Sistema de vigilancia'!$D$22*'Sistema de vigilancia'!$D$20*52)</f>
        <v>303264</v>
      </c>
      <c r="E30" s="124">
        <f>+(E25*'Sistema de vigilancia'!$D$22*'Sistema de vigilancia'!$D$20*52)</f>
        <v>303264</v>
      </c>
      <c r="F30" s="124">
        <f>+(F25*'Sistema de vigilancia'!$D$22*'Sistema de vigilancia'!$D$20*52)</f>
        <v>303264</v>
      </c>
      <c r="G30" s="124">
        <f>+(G25*'Sistema de vigilancia'!$D$22*'Sistema de vigilancia'!$D$20*52)</f>
        <v>303264</v>
      </c>
      <c r="H30" s="125">
        <f>+(H25*'Sistema de vigilancia'!$D$22*'Sistema de vigilancia'!$D$20*52)</f>
        <v>303264</v>
      </c>
    </row>
    <row r="32" spans="2:14" x14ac:dyDescent="0.25">
      <c r="N32" s="22"/>
    </row>
    <row r="33" spans="11:14" x14ac:dyDescent="0.25">
      <c r="K33" s="22"/>
      <c r="N33" s="22"/>
    </row>
    <row r="34" spans="11:14" x14ac:dyDescent="0.25">
      <c r="K34" s="59"/>
    </row>
  </sheetData>
  <mergeCells count="4">
    <mergeCell ref="B2:I2"/>
    <mergeCell ref="B13:D13"/>
    <mergeCell ref="B9:C9"/>
    <mergeCell ref="B23:H23"/>
  </mergeCells>
  <pageMargins left="0.7" right="0.7" top="0.75" bottom="0.75" header="0.3" footer="0.3"/>
  <ignoredErrors>
    <ignoredError sqref="D28:H28 E26:G26 E27:H27 E29:H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I9" sqref="I9"/>
    </sheetView>
  </sheetViews>
  <sheetFormatPr baseColWidth="10" defaultRowHeight="15" x14ac:dyDescent="0.25"/>
  <cols>
    <col min="1" max="1" width="6.140625" style="4" customWidth="1"/>
    <col min="2" max="16384" width="11.42578125" style="4"/>
  </cols>
  <sheetData>
    <row r="1" spans="2:8" ht="15.75" thickBot="1" x14ac:dyDescent="0.3"/>
    <row r="2" spans="2:8" ht="15.75" thickBot="1" x14ac:dyDescent="0.3">
      <c r="B2" s="56" t="s">
        <v>176</v>
      </c>
      <c r="C2" s="57" t="s">
        <v>170</v>
      </c>
      <c r="D2" s="57">
        <v>2018</v>
      </c>
      <c r="E2" s="57">
        <v>2019</v>
      </c>
      <c r="F2" s="57">
        <v>2020</v>
      </c>
      <c r="G2" s="57">
        <v>2021</v>
      </c>
      <c r="H2" s="69">
        <v>2022</v>
      </c>
    </row>
    <row r="3" spans="2:8" x14ac:dyDescent="0.25">
      <c r="B3" s="62" t="s">
        <v>169</v>
      </c>
      <c r="C3" s="63" t="str">
        <f>+AnálisisDemanda!D77</f>
        <v>DAT</v>
      </c>
      <c r="D3" s="63">
        <f>+AnálisisDemanda!E77</f>
        <v>359</v>
      </c>
      <c r="E3" s="63">
        <f>+AnálisisDemanda!F77</f>
        <v>408</v>
      </c>
      <c r="F3" s="63">
        <f>+AnálisisDemanda!G77</f>
        <v>434</v>
      </c>
      <c r="G3" s="63">
        <f>+AnálisisDemanda!H77</f>
        <v>461</v>
      </c>
      <c r="H3" s="68">
        <f>+AnálisisDemanda!I77</f>
        <v>484</v>
      </c>
    </row>
    <row r="4" spans="2:8" x14ac:dyDescent="0.25">
      <c r="B4" s="17" t="s">
        <v>169</v>
      </c>
      <c r="C4" s="18" t="str">
        <f>+AnálisisDemanda!D78</f>
        <v>DMTC</v>
      </c>
      <c r="D4" s="18">
        <f>+AnálisisDemanda!E78</f>
        <v>51</v>
      </c>
      <c r="E4" s="18">
        <f>+AnálisisDemanda!F78</f>
        <v>58</v>
      </c>
      <c r="F4" s="18">
        <f>+AnálisisDemanda!G78</f>
        <v>62</v>
      </c>
      <c r="G4" s="18">
        <f>+AnálisisDemanda!H78</f>
        <v>66</v>
      </c>
      <c r="H4" s="9">
        <f>+AnálisisDemanda!I78</f>
        <v>69</v>
      </c>
    </row>
    <row r="5" spans="2:8" x14ac:dyDescent="0.25">
      <c r="B5" s="17" t="s">
        <v>169</v>
      </c>
      <c r="C5" s="18" t="str">
        <f>+AnálisisDemanda!D79</f>
        <v>DRC</v>
      </c>
      <c r="D5" s="18">
        <f>+AnálisisDemanda!E79</f>
        <v>26</v>
      </c>
      <c r="E5" s="18">
        <f>+AnálisisDemanda!F79</f>
        <v>29</v>
      </c>
      <c r="F5" s="18">
        <f>+AnálisisDemanda!G79</f>
        <v>31</v>
      </c>
      <c r="G5" s="18">
        <f>+AnálisisDemanda!H79</f>
        <v>33</v>
      </c>
      <c r="H5" s="9">
        <f>+AnálisisDemanda!I79</f>
        <v>35</v>
      </c>
    </row>
    <row r="6" spans="2:8" x14ac:dyDescent="0.25">
      <c r="B6" s="17" t="s">
        <v>169</v>
      </c>
      <c r="C6" s="18" t="str">
        <f>+AnálisisDemanda!D80</f>
        <v>DRV</v>
      </c>
      <c r="D6" s="18">
        <f>+AnálisisDemanda!E80</f>
        <v>18</v>
      </c>
      <c r="E6" s="18">
        <f>+AnálisisDemanda!F80</f>
        <v>21</v>
      </c>
      <c r="F6" s="18">
        <f>+AnálisisDemanda!G80</f>
        <v>22</v>
      </c>
      <c r="G6" s="18">
        <f>+AnálisisDemanda!H80</f>
        <v>23</v>
      </c>
      <c r="H6" s="9">
        <f>+AnálisisDemanda!I80</f>
        <v>24</v>
      </c>
    </row>
    <row r="7" spans="2:8" x14ac:dyDescent="0.25">
      <c r="B7" s="17" t="s">
        <v>169</v>
      </c>
      <c r="C7" s="18" t="str">
        <f>+AnálisisDemanda!D81</f>
        <v>DACHL</v>
      </c>
      <c r="D7" s="18">
        <f>+AnálisisDemanda!E81</f>
        <v>18</v>
      </c>
      <c r="E7" s="18">
        <f>+AnálisisDemanda!F81</f>
        <v>21</v>
      </c>
      <c r="F7" s="18">
        <f>+AnálisisDemanda!G81</f>
        <v>22</v>
      </c>
      <c r="G7" s="18">
        <f>+AnálisisDemanda!H81</f>
        <v>23</v>
      </c>
      <c r="H7" s="9">
        <f>+AnálisisDemanda!I81</f>
        <v>24</v>
      </c>
    </row>
    <row r="8" spans="2:8" ht="15.75" thickBot="1" x14ac:dyDescent="0.3">
      <c r="B8" s="46" t="s">
        <v>169</v>
      </c>
      <c r="C8" s="47" t="str">
        <f>+AnálisisDemanda!D82</f>
        <v>HATA</v>
      </c>
      <c r="D8" s="47">
        <f>+AnálisisDemanda!E82</f>
        <v>671840</v>
      </c>
      <c r="E8" s="47">
        <f>+AnálisisDemanda!F82</f>
        <v>763776</v>
      </c>
      <c r="F8" s="47">
        <f>+AnálisisDemanda!G82</f>
        <v>813280</v>
      </c>
      <c r="G8" s="47">
        <f>+AnálisisDemanda!H82</f>
        <v>862784</v>
      </c>
      <c r="H8" s="13">
        <f>+AnálisisDemanda!I82</f>
        <v>905216</v>
      </c>
    </row>
    <row r="9" spans="2:8" x14ac:dyDescent="0.25">
      <c r="B9" s="62" t="s">
        <v>171</v>
      </c>
      <c r="C9" s="63" t="str">
        <f>+AnálisisOferta!C25</f>
        <v>DOAT</v>
      </c>
      <c r="D9" s="63">
        <f>+AnálisisOferta!D25</f>
        <v>162</v>
      </c>
      <c r="E9" s="63">
        <f>+AnálisisOferta!E25</f>
        <v>162</v>
      </c>
      <c r="F9" s="63">
        <f>+AnálisisOferta!F25</f>
        <v>162</v>
      </c>
      <c r="G9" s="63">
        <f>+AnálisisOferta!G25</f>
        <v>162</v>
      </c>
      <c r="H9" s="68">
        <f>+AnálisisOferta!H25</f>
        <v>162</v>
      </c>
    </row>
    <row r="10" spans="2:8" x14ac:dyDescent="0.25">
      <c r="B10" s="17" t="s">
        <v>171</v>
      </c>
      <c r="C10" s="18" t="str">
        <f>+AnálisisOferta!C26</f>
        <v>DOVMTC</v>
      </c>
      <c r="D10" s="18">
        <f>+AnálisisOferta!D26</f>
        <v>10</v>
      </c>
      <c r="E10" s="18">
        <f>+AnálisisOferta!E26</f>
        <v>8</v>
      </c>
      <c r="F10" s="18">
        <f>+AnálisisOferta!F26</f>
        <v>8</v>
      </c>
      <c r="G10" s="18">
        <f>+AnálisisOferta!G26</f>
        <v>8</v>
      </c>
      <c r="H10" s="9">
        <f>+AnálisisOferta!H26</f>
        <v>3</v>
      </c>
    </row>
    <row r="11" spans="2:8" x14ac:dyDescent="0.25">
      <c r="B11" s="17" t="s">
        <v>171</v>
      </c>
      <c r="C11" s="18" t="str">
        <f>+AnálisisOferta!C27</f>
        <v>DOVRC</v>
      </c>
      <c r="D11" s="18">
        <f>+AnálisisOferta!D27</f>
        <v>25</v>
      </c>
      <c r="E11" s="18">
        <f>+AnálisisOferta!E27</f>
        <v>25</v>
      </c>
      <c r="F11" s="18">
        <f>+AnálisisOferta!F27</f>
        <v>10</v>
      </c>
      <c r="G11" s="18">
        <f>+AnálisisOferta!G27</f>
        <v>10</v>
      </c>
      <c r="H11" s="9">
        <f>+AnálisisOferta!H27</f>
        <v>10</v>
      </c>
    </row>
    <row r="12" spans="2:8" x14ac:dyDescent="0.25">
      <c r="B12" s="17" t="s">
        <v>171</v>
      </c>
      <c r="C12" s="18" t="str">
        <f>+AnálisisOferta!C28</f>
        <v>DOVRV</v>
      </c>
      <c r="D12" s="18">
        <f>+AnálisisOferta!D28</f>
        <v>20</v>
      </c>
      <c r="E12" s="18">
        <f>+AnálisisOferta!E28</f>
        <v>20</v>
      </c>
      <c r="F12" s="18">
        <f>+AnálisisOferta!F28</f>
        <v>20</v>
      </c>
      <c r="G12" s="18">
        <f>+AnálisisOferta!G28</f>
        <v>20</v>
      </c>
      <c r="H12" s="9">
        <f>+AnálisisOferta!H28</f>
        <v>15</v>
      </c>
    </row>
    <row r="13" spans="2:8" x14ac:dyDescent="0.25">
      <c r="B13" s="17" t="s">
        <v>171</v>
      </c>
      <c r="C13" s="18" t="str">
        <f>+AnálisisOferta!C29</f>
        <v>DOVACHL</v>
      </c>
      <c r="D13" s="18">
        <f>+AnálisisOferta!D29</f>
        <v>10</v>
      </c>
      <c r="E13" s="18">
        <f>+AnálisisOferta!E29</f>
        <v>10</v>
      </c>
      <c r="F13" s="18">
        <f>+AnálisisOferta!F29</f>
        <v>10</v>
      </c>
      <c r="G13" s="18">
        <f>+AnálisisOferta!G29</f>
        <v>10</v>
      </c>
      <c r="H13" s="9">
        <f>+AnálisisOferta!H29</f>
        <v>5</v>
      </c>
    </row>
    <row r="14" spans="2:8" ht="15.75" thickBot="1" x14ac:dyDescent="0.3">
      <c r="B14" s="46" t="s">
        <v>171</v>
      </c>
      <c r="C14" s="47" t="str">
        <f>+AnálisisOferta!C30</f>
        <v>DOHATA</v>
      </c>
      <c r="D14" s="47">
        <f>+AnálisisOferta!D30</f>
        <v>303264</v>
      </c>
      <c r="E14" s="47">
        <f>+AnálisisOferta!E30</f>
        <v>303264</v>
      </c>
      <c r="F14" s="47">
        <f>+AnálisisOferta!F30</f>
        <v>303264</v>
      </c>
      <c r="G14" s="47">
        <f>+AnálisisOferta!G30</f>
        <v>303264</v>
      </c>
      <c r="H14" s="13">
        <f>+AnálisisOferta!H30</f>
        <v>303264</v>
      </c>
    </row>
    <row r="15" spans="2:8" x14ac:dyDescent="0.25">
      <c r="B15" s="62" t="s">
        <v>173</v>
      </c>
      <c r="C15" s="63" t="str">
        <f>+CONCATENATE("B",'Sistema de vigilancia'!C7)</f>
        <v>BAT</v>
      </c>
      <c r="D15" s="63">
        <f>+D9-D3</f>
        <v>-197</v>
      </c>
      <c r="E15" s="63">
        <f t="shared" ref="E15:H15" si="0">+E9-E3</f>
        <v>-246</v>
      </c>
      <c r="F15" s="63">
        <f t="shared" si="0"/>
        <v>-272</v>
      </c>
      <c r="G15" s="63">
        <f t="shared" si="0"/>
        <v>-299</v>
      </c>
      <c r="H15" s="68">
        <f t="shared" si="0"/>
        <v>-322</v>
      </c>
    </row>
    <row r="16" spans="2:8" x14ac:dyDescent="0.25">
      <c r="B16" s="17" t="s">
        <v>173</v>
      </c>
      <c r="C16" s="18" t="str">
        <f>+CONCATENATE("B",'Sistema de vigilancia'!C8)</f>
        <v>BMTC</v>
      </c>
      <c r="D16" s="18">
        <f t="shared" ref="D16:H16" si="1">+D10-D4</f>
        <v>-41</v>
      </c>
      <c r="E16" s="18">
        <f t="shared" si="1"/>
        <v>-50</v>
      </c>
      <c r="F16" s="18">
        <f t="shared" si="1"/>
        <v>-54</v>
      </c>
      <c r="G16" s="18">
        <f t="shared" si="1"/>
        <v>-58</v>
      </c>
      <c r="H16" s="9">
        <f t="shared" si="1"/>
        <v>-66</v>
      </c>
    </row>
    <row r="17" spans="2:8" x14ac:dyDescent="0.25">
      <c r="B17" s="17" t="s">
        <v>173</v>
      </c>
      <c r="C17" s="18" t="str">
        <f>+CONCATENATE("B",'Sistema de vigilancia'!C9)</f>
        <v>BRC</v>
      </c>
      <c r="D17" s="18">
        <f t="shared" ref="D17:H17" si="2">+D11-D5</f>
        <v>-1</v>
      </c>
      <c r="E17" s="18">
        <f t="shared" si="2"/>
        <v>-4</v>
      </c>
      <c r="F17" s="18">
        <f t="shared" si="2"/>
        <v>-21</v>
      </c>
      <c r="G17" s="18">
        <f t="shared" si="2"/>
        <v>-23</v>
      </c>
      <c r="H17" s="9">
        <f t="shared" si="2"/>
        <v>-25</v>
      </c>
    </row>
    <row r="18" spans="2:8" x14ac:dyDescent="0.25">
      <c r="B18" s="17" t="s">
        <v>173</v>
      </c>
      <c r="C18" s="18" t="str">
        <f>+CONCATENATE("B",'Sistema de vigilancia'!C10)</f>
        <v>BRV</v>
      </c>
      <c r="D18" s="18">
        <f t="shared" ref="D18:H18" si="3">+D12-D6</f>
        <v>2</v>
      </c>
      <c r="E18" s="18">
        <f t="shared" si="3"/>
        <v>-1</v>
      </c>
      <c r="F18" s="18">
        <f t="shared" si="3"/>
        <v>-2</v>
      </c>
      <c r="G18" s="18">
        <f t="shared" si="3"/>
        <v>-3</v>
      </c>
      <c r="H18" s="9">
        <f t="shared" si="3"/>
        <v>-9</v>
      </c>
    </row>
    <row r="19" spans="2:8" x14ac:dyDescent="0.25">
      <c r="B19" s="17" t="s">
        <v>173</v>
      </c>
      <c r="C19" s="18" t="str">
        <f>+CONCATENATE("B",'Sistema de vigilancia'!C11)</f>
        <v>BACHL</v>
      </c>
      <c r="D19" s="18">
        <f t="shared" ref="D19:H19" si="4">+D13-D7</f>
        <v>-8</v>
      </c>
      <c r="E19" s="18">
        <f t="shared" si="4"/>
        <v>-11</v>
      </c>
      <c r="F19" s="18">
        <f t="shared" si="4"/>
        <v>-12</v>
      </c>
      <c r="G19" s="18">
        <f t="shared" si="4"/>
        <v>-13</v>
      </c>
      <c r="H19" s="9">
        <f t="shared" si="4"/>
        <v>-19</v>
      </c>
    </row>
    <row r="20" spans="2:8" ht="15.75" thickBot="1" x14ac:dyDescent="0.3">
      <c r="B20" s="46" t="s">
        <v>173</v>
      </c>
      <c r="C20" s="47" t="s">
        <v>175</v>
      </c>
      <c r="D20" s="47">
        <f t="shared" ref="D20:H20" si="5">+D14-D8</f>
        <v>-368576</v>
      </c>
      <c r="E20" s="47">
        <f t="shared" si="5"/>
        <v>-460512</v>
      </c>
      <c r="F20" s="47">
        <f t="shared" si="5"/>
        <v>-510016</v>
      </c>
      <c r="G20" s="47">
        <f t="shared" si="5"/>
        <v>-559520</v>
      </c>
      <c r="H20" s="13">
        <f t="shared" si="5"/>
        <v>-601952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tabSelected="1" workbookViewId="0">
      <selection activeCell="B22" sqref="B22"/>
    </sheetView>
  </sheetViews>
  <sheetFormatPr baseColWidth="10" defaultRowHeight="15" x14ac:dyDescent="0.25"/>
  <cols>
    <col min="1" max="1" width="13" style="4" customWidth="1"/>
    <col min="2" max="2" width="22.42578125" style="4" customWidth="1"/>
    <col min="3" max="3" width="6" style="4" customWidth="1"/>
    <col min="4" max="4" width="12.5703125" style="4" customWidth="1"/>
    <col min="5" max="6" width="13" style="4" bestFit="1" customWidth="1"/>
    <col min="7" max="16384" width="11.42578125" style="4"/>
  </cols>
  <sheetData>
    <row r="2" spans="1:2" x14ac:dyDescent="0.25">
      <c r="A2" s="4" t="s">
        <v>176</v>
      </c>
      <c r="B2" s="4" t="s">
        <v>173</v>
      </c>
    </row>
    <row r="4" spans="1:2" x14ac:dyDescent="0.25">
      <c r="B4" s="4" t="s">
        <v>183</v>
      </c>
    </row>
    <row r="5" spans="1:2" x14ac:dyDescent="0.25">
      <c r="A5" s="4" t="s">
        <v>182</v>
      </c>
      <c r="B5" s="4" t="s">
        <v>189</v>
      </c>
    </row>
    <row r="6" spans="1:2" x14ac:dyDescent="0.25">
      <c r="A6" s="126" t="s">
        <v>177</v>
      </c>
      <c r="B6" s="127">
        <v>-8</v>
      </c>
    </row>
    <row r="7" spans="1:2" x14ac:dyDescent="0.25">
      <c r="A7" s="126" t="s">
        <v>178</v>
      </c>
      <c r="B7" s="127">
        <v>-11</v>
      </c>
    </row>
    <row r="8" spans="1:2" x14ac:dyDescent="0.25">
      <c r="A8" s="126" t="s">
        <v>179</v>
      </c>
      <c r="B8" s="127">
        <v>-12</v>
      </c>
    </row>
    <row r="9" spans="1:2" x14ac:dyDescent="0.25">
      <c r="A9" s="126" t="s">
        <v>180</v>
      </c>
      <c r="B9" s="127">
        <v>-13</v>
      </c>
    </row>
    <row r="10" spans="1:2" x14ac:dyDescent="0.25">
      <c r="A10" s="126" t="s">
        <v>181</v>
      </c>
      <c r="B10" s="127">
        <v>-19</v>
      </c>
    </row>
    <row r="18" spans="7:13" ht="15.75" thickBot="1" x14ac:dyDescent="0.3">
      <c r="G18" s="128" t="s">
        <v>184</v>
      </c>
    </row>
    <row r="19" spans="7:13" ht="33" customHeight="1" thickBot="1" x14ac:dyDescent="0.3">
      <c r="G19" s="132" t="s">
        <v>185</v>
      </c>
      <c r="H19" s="133"/>
      <c r="I19" s="133"/>
      <c r="J19" s="133"/>
      <c r="K19" s="133"/>
      <c r="L19" s="133"/>
      <c r="M19" s="134"/>
    </row>
  </sheetData>
  <mergeCells count="1">
    <mergeCell ref="G19:M19"/>
  </mergeCell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J31" sqref="J31"/>
    </sheetView>
  </sheetViews>
  <sheetFormatPr baseColWidth="10" defaultRowHeight="15" x14ac:dyDescent="0.25"/>
  <sheetData>
    <row r="1" spans="1:2" x14ac:dyDescent="0.25">
      <c r="A1">
        <v>1</v>
      </c>
      <c r="B1" s="110">
        <v>0.8</v>
      </c>
    </row>
    <row r="2" spans="1:2" x14ac:dyDescent="0.25">
      <c r="A2">
        <v>2</v>
      </c>
      <c r="B2" s="110">
        <v>0.32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Estadisticas</vt:lpstr>
      <vt:lpstr>Sistema de vigilancia</vt:lpstr>
      <vt:lpstr>AnálisisDemanda</vt:lpstr>
      <vt:lpstr>AnálisisOferta</vt:lpstr>
      <vt:lpstr>Brecha</vt:lpstr>
      <vt:lpstr>BrechaOD</vt:lpstr>
      <vt:lpstr>Lista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Osmar Cuadra Baca</dc:creator>
  <cp:lastModifiedBy>Cristel López Calderón</cp:lastModifiedBy>
  <dcterms:created xsi:type="dcterms:W3CDTF">2017-04-06T19:15:03Z</dcterms:created>
  <dcterms:modified xsi:type="dcterms:W3CDTF">2017-04-20T16:04:52Z</dcterms:modified>
</cp:coreProperties>
</file>